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135" activeTab="5"/>
  </bookViews>
  <sheets>
    <sheet name="д1" sheetId="1" r:id="rId1"/>
    <sheet name="д2" sheetId="2" r:id="rId2"/>
    <sheet name="д3" sheetId="3" r:id="rId3"/>
    <sheet name="д4" sheetId="4" r:id="rId4"/>
    <sheet name="д5" sheetId="5" r:id="rId5"/>
    <sheet name="д6" sheetId="6" r:id="rId6"/>
  </sheets>
  <definedNames>
    <definedName name="_xlnm.Print_Titles" localSheetId="1">'д2'!$13:$16</definedName>
  </definedNames>
  <calcPr fullCalcOnLoad="1"/>
</workbook>
</file>

<file path=xl/sharedStrings.xml><?xml version="1.0" encoding="utf-8"?>
<sst xmlns="http://schemas.openxmlformats.org/spreadsheetml/2006/main" count="977" uniqueCount="486">
  <si>
    <t>від 25.11.2022 №4008, зі змінами від 24.02.2023 №4151, від 23.06.2023 №4497</t>
  </si>
  <si>
    <t>від 17.12.2021 №3134, зі змінами від 23.06.2023 №4498</t>
  </si>
  <si>
    <t>Проєкт</t>
  </si>
  <si>
    <t xml:space="preserve">ГУ ДПС у Кіровоградській області (для Олександрівської ДПІ ГУ ДПС у Кіровоградській області </t>
  </si>
  <si>
    <t>Про затвердження  Програми розвитку та функціонування Центру обслуговування платників Олександрівської ДПІ Головного управління ДПС у Кіровоградській області на 2023 рік</t>
  </si>
  <si>
    <t>Проект</t>
  </si>
  <si>
    <t>Бюджет Великоолександрівської селищної територіальної громади</t>
  </si>
  <si>
    <t xml:space="preserve">
Програма ліквідації наслідків збройної агресії на 2023 рік
</t>
  </si>
  <si>
    <t>від 24.02.2023 №4153, зі змінами від 18.08.2023 №</t>
  </si>
  <si>
    <t>Філії Державної установи "Центр пробації" в Кіровоградській області (для Кропивницького районного сектору №1 філії Державної установи "Центр пробації" в Кіровоградській області)</t>
  </si>
  <si>
    <t>від 28.01.2021 №137, зі змінами від 23.09.2022 №3963, від 25.11.2022 №3997, від 24.02.2023 №4152, від 23.06.2023 №4500, від 18.08.2023 №</t>
  </si>
  <si>
    <t>Про затвердження Програми профілактики рецедивної злочинності та правопорушень на території Олександрівської територіальної громади на період 2023-2025 років</t>
  </si>
  <si>
    <t>від 23.06.2023 №4504</t>
  </si>
  <si>
    <t xml:space="preserve">«Про затвердження Програми організації та проведення громадських робіт для незайнятого населення Олександрівської селищної ради на 2023 - 2025 роки»
</t>
  </si>
  <si>
    <t>Капітальний ремонт покрівлі будівлі інфекційного відділення та клініко - діагностичної лабораторії Комунального некомерційного підприємства "Олександрівська лікарня" Олександрівської селищної ради Кропивницького району Кіровоградської області смт.Олександрівка   вул.Шевченка,57 (з виготовленням проєктно-кошторисної документації)</t>
  </si>
  <si>
    <t>Технічний нагляд по проєкту "Капітальний ремонт приміщень Олександрівського закладу дошкільної освіти (ясла-садок) №3 Олександрівської селищної ради Кропивницького району Кіровоградської області  по пров. Зелений, 8 в смт. Олександрівка. Коригування"</t>
  </si>
  <si>
    <t>Коригування кошторисної частини з проведенням експертизи робочого проекту: "Капітальний ремонт приміщень Олександрівського закладу дошкільної освіти (ясла-садок) №3 Олександрівської селищної ради Кропивницького району Кіровоградської області  по пров. Зелений, 8 в смт. Олександрівка. Коригування"</t>
  </si>
  <si>
    <t>Проектні роботи з коригування  кошторисної частини робочого проекту: "Капітальний ремонт Красносільського закладу дошкільної освіти (дитячий садок) Олександрівської селищної ради Кропивницького району Кіровоградської області. 27326 с. Красносілля, вул. Нова, буд. 12 (коригування)" з проходженням будівельної експертизи кошторисної частини проектної документації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</si>
  <si>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</si>
  <si>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</si>
  <si>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</si>
  <si>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</si>
  <si>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</si>
  <si>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</si>
  <si>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</si>
  <si>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</si>
  <si>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</si>
  <si>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</si>
  <si>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 xml:space="preserve">РОЗПОДІЛ 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</si>
  <si>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</si>
  <si>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</si>
  <si>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</si>
  <si>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</si>
  <si>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</si>
  <si>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</si>
  <si>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</si>
  <si>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</si>
  <si>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</si>
  <si>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</si>
  <si>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</si>
  <si>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</si>
  <si>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</si>
  <si>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</si>
  <si>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</si>
  <si>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</si>
  <si>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</si>
  <si>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</si>
  <si>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</si>
  <si>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1040</t>
  </si>
  <si>
    <t>Інші заходи у сфері соціального захисту і соціального забезпечення</t>
  </si>
  <si>
    <t>0320</t>
  </si>
  <si>
    <t>Заходи із запобігання та ліквідації надзвичайних ситуацій та наслідків стихійного лиха</t>
  </si>
  <si>
    <t>8130</t>
  </si>
  <si>
    <t>0600000</t>
  </si>
  <si>
    <t>0610000</t>
  </si>
  <si>
    <t>0611020</t>
  </si>
  <si>
    <t>0921</t>
  </si>
  <si>
    <t>0960</t>
  </si>
  <si>
    <t>0990</t>
  </si>
  <si>
    <t>Забезпечення діяльності інших закладів у сфері освіти</t>
  </si>
  <si>
    <t>Інші програми та заходи у сфері освіти</t>
  </si>
  <si>
    <t>0810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</si>
  <si>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</si>
  <si>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</si>
  <si>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Підтримка спорту вищих досягнень та організацій, які здійснюють фізкультурно-спортивну діяльність в регіоні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</si>
  <si>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</si>
  <si>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</si>
  <si>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</si>
  <si>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</si>
  <si>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</si>
  <si>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</si>
  <si>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</si>
  <si>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</si>
  <si>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</si>
  <si>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</si>
  <si>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</si>
  <si>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</si>
  <si>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</si>
  <si>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</si>
  <si>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</si>
  <si>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</si>
  <si>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</si>
  <si>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</si>
  <si>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</si>
  <si>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Інші видатки на соціальний захист ветеранів війни та праці</t>
  </si>
  <si>
    <t>0813192</t>
  </si>
  <si>
    <t>0813242</t>
  </si>
  <si>
    <t>1000000</t>
  </si>
  <si>
    <t>1010000</t>
  </si>
  <si>
    <t>1014030</t>
  </si>
  <si>
    <t>0824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</si>
  <si>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</si>
  <si>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</si>
  <si>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</si>
  <si>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</si>
  <si>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</si>
  <si>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</si>
  <si>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</si>
  <si>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</si>
  <si>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 xml:space="preserve">Забезпечення діяльності інших закладів в галузі культури і мистецтва </t>
  </si>
  <si>
    <t xml:space="preserve">Всього </t>
  </si>
  <si>
    <t>УСЬОГО</t>
  </si>
  <si>
    <t>з них:</t>
  </si>
  <si>
    <t>з них капітальні видатки за рахунок коштів, що передаються із загального фонду до бюджету розвитку (спеціального фонду)</t>
  </si>
  <si>
    <t>(код бюджету)</t>
  </si>
  <si>
    <t xml:space="preserve">оплата праці 
</t>
  </si>
  <si>
    <t xml:space="preserve">комунальні послуги та енергоносії
</t>
  </si>
  <si>
    <t>Забезпечення діяльності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</si>
  <si>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</si>
  <si>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</si>
  <si>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Код Програмної класифікації видатків та кредитування місцевого бюджету</t>
  </si>
  <si>
    <t>Найменування головного розпорядника коштів місцевого бюджету/ відповідального виконавця, 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</si>
  <si>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</si>
  <si>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Усього за програмою</t>
  </si>
  <si>
    <t>0216082</t>
  </si>
  <si>
    <t>X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</si>
  <si>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</si>
  <si>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</si>
  <si>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районного бюджету/ 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</si>
  <si>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</si>
  <si>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(гривень)</t>
  </si>
  <si>
    <t xml:space="preserve">Надання позашкільної освіти  закладами позашкільної освіти, заходи із позашкільної роботи з дітьми  </t>
  </si>
  <si>
    <t>Надання спеціальної освіти мистецькими школами</t>
  </si>
  <si>
    <t>0160</t>
  </si>
  <si>
    <t>Додаток 4</t>
  </si>
  <si>
    <t>0112111</t>
  </si>
  <si>
    <t>0112010</t>
  </si>
  <si>
    <t>0113104</t>
  </si>
  <si>
    <t>0113242</t>
  </si>
  <si>
    <t>0118110</t>
  </si>
  <si>
    <t>0118130</t>
  </si>
  <si>
    <t>Здійснення заходів із землеустрою</t>
  </si>
  <si>
    <t>0117130</t>
  </si>
  <si>
    <t>0421</t>
  </si>
  <si>
    <t>Організація благоустрою населених пунктів</t>
  </si>
  <si>
    <t>0620</t>
  </si>
  <si>
    <t>0456</t>
  </si>
  <si>
    <t>0611010</t>
  </si>
  <si>
    <t>Надання дошкільної освіти</t>
  </si>
  <si>
    <t>0910</t>
  </si>
  <si>
    <t>Природоохоронні заходи за рахунок цільових фондів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</si>
  <si>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</si>
  <si>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</si>
  <si>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на проведення (надання додаткових психолого-педагогічних і корекційно-розвиткових занять (послуг) та придбання спеціальних засобів корекції психологічного розвитку для учнів інклюзивних класів закладів загальної середньої освіти</t>
  </si>
  <si>
    <t>на проведення (надання додаткових психолого-педагогічних і корекційно-розвиткових занять (послуг) та придбання спеціальних засобів корекції психологічного розвитку для вихованців інклюзивних груп закладів дошкільної освіти</t>
  </si>
  <si>
    <t>Програма "Шкільний автобус"
на 2021-2025 роки</t>
  </si>
  <si>
    <t>0610160</t>
  </si>
  <si>
    <t>1010160</t>
  </si>
  <si>
    <t>1110160</t>
  </si>
  <si>
    <t>0813104</t>
  </si>
  <si>
    <t>0813121</t>
  </si>
  <si>
    <t>0800000</t>
  </si>
  <si>
    <t>0810000</t>
  </si>
  <si>
    <t>0810160</t>
  </si>
  <si>
    <t>1100000</t>
  </si>
  <si>
    <t>1110000</t>
  </si>
  <si>
    <t>Надання загальної середньої освіти закладами загальної середньої освіти  за рахунок коштів місцевого бюджету</t>
  </si>
  <si>
    <t>0611021</t>
  </si>
  <si>
    <t>0611030</t>
  </si>
  <si>
    <t>0611031</t>
  </si>
  <si>
    <t>Надання загальної середньої освіти  за рахунок освітньої субвенції</t>
  </si>
  <si>
    <t>0611070</t>
  </si>
  <si>
    <t>1011080</t>
  </si>
  <si>
    <t>0611140</t>
  </si>
  <si>
    <t>Інші програми, заклади та заходи у сфері освіти</t>
  </si>
  <si>
    <t>0611141</t>
  </si>
  <si>
    <t>0611142</t>
  </si>
  <si>
    <t>0611150</t>
  </si>
  <si>
    <t>Забезпечення діяльності інклюзивно-ресурсних центрів  за рахунок коштів місцевого бюджету</t>
  </si>
  <si>
    <t>0611151</t>
  </si>
  <si>
    <t>0611152</t>
  </si>
  <si>
    <t>Забезпечення діяльності інклюзивно-ресурсних центрів 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</si>
  <si>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</si>
  <si>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</si>
  <si>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за рахунок дотації на здійснення переданих з державного бюджету видатків з утримання закладів освіти та охорони здоров'я 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</si>
  <si>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</si>
  <si>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</si>
  <si>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Резервний фонд місцевого бюджету</t>
  </si>
  <si>
    <t>0611160</t>
  </si>
  <si>
    <t>Забезпечення діяльності центрів професійного розвитку педагогічних працівників</t>
  </si>
  <si>
    <t>Програма протидії захворюванню на туберкульоз 
на період  до 2025 року</t>
  </si>
  <si>
    <t>від 24.12.2020 №69</t>
  </si>
  <si>
    <t>Програма боротьби з онкологічними захворюваннями 
на  2021-2025 роки</t>
  </si>
  <si>
    <t>Цільова програма "Доступна та якісна медицина" 
на  2021-2025 роки</t>
  </si>
  <si>
    <t xml:space="preserve">Програма "Місцеві стимули" для медичних працівників 
на  2021-2025 роки </t>
  </si>
  <si>
    <t>від 24.12.2020 №70</t>
  </si>
  <si>
    <t>Програма "Репродуктивне здоров'я населення" 
на 2021-2025 роки</t>
  </si>
  <si>
    <t>від 24.12.2020 №68</t>
  </si>
  <si>
    <t>від 24.12.2020 №75</t>
  </si>
  <si>
    <t>Олександрівська селищна рада</t>
  </si>
  <si>
    <t xml:space="preserve">Відділ освіти </t>
  </si>
  <si>
    <t xml:space="preserve">Відділ соціального захисту населення </t>
  </si>
  <si>
    <t xml:space="preserve">Відділ культури </t>
  </si>
  <si>
    <t xml:space="preserve">Відділ  молоді та спорту </t>
  </si>
  <si>
    <t xml:space="preserve">Фінансовий відділ </t>
  </si>
  <si>
    <t>Надання спеціалізованої освіти мистецькими школами</t>
  </si>
  <si>
    <t>Олександр БЕЗПЕЧНИЙ</t>
  </si>
  <si>
    <t xml:space="preserve">Олександрівська селищна рада </t>
  </si>
  <si>
    <t>Відділ  молоді та спорту</t>
  </si>
  <si>
    <t>0118220</t>
  </si>
  <si>
    <t>0380</t>
  </si>
  <si>
    <t>Заходи та роботи з мобілізаційної підготовки місцевого значення</t>
  </si>
  <si>
    <t>Програма цивільного захисту Олександрівської селищної ради Кропивницького району на 2021-2025 роки</t>
  </si>
  <si>
    <t xml:space="preserve">Відділ освіти  </t>
  </si>
  <si>
    <t>Комплексна програма соціальної підтримки учасників АТО/ООС, членів їх сімей, сімей загиблих (померлих) учасників АТО/ООС, постраждалих учасників Революції гідності, учасників-добровольців, які брали участь у захисті територіальної цілісності та державного суверенітету на Сході України та увічнення пам'яті загиблих (померлих) ветеранів Олександрівської селищної ради на 2021-2025 роки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</si>
  <si>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</si>
  <si>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</si>
  <si>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 28.04.2021 №576</t>
  </si>
  <si>
    <t>1200000</t>
  </si>
  <si>
    <t xml:space="preserve">Відділ містобудування, архітектури, житлово-комунального господарства та благоустрою </t>
  </si>
  <si>
    <t>1210000</t>
  </si>
  <si>
    <t>Відділ містобудування, архітектури, житлово-комунального господарства та благоустрою</t>
  </si>
  <si>
    <t>1216030</t>
  </si>
  <si>
    <t>1217461</t>
  </si>
  <si>
    <t>1218340</t>
  </si>
  <si>
    <t>Програма благоустрою території Олександрівської селищної ради Кропивницького району Кіровоградської області
 на 2021-2023 роки</t>
  </si>
  <si>
    <t>1210160</t>
  </si>
  <si>
    <t>Керівництво і управління  у відповідній сфері у містах (місті Києві), селищах, селах, територіальних громадах</t>
  </si>
  <si>
    <t>Цільова програма "Турбота-ХЛІБ" на 2021-2023 роки</t>
  </si>
  <si>
    <t>від 12.03.2021 №261</t>
  </si>
  <si>
    <t>Цільова програма "Турбота-ЮВІЛЯРИ" на 2021-2023 роки</t>
  </si>
  <si>
    <t>від 12.03.2021 №262</t>
  </si>
  <si>
    <t>від 30.07.2021 №1250</t>
  </si>
  <si>
    <t>Програма розвитку фізичної культури і спорту на території Олександрівської селищної ради
 на 2021-2024 роки</t>
  </si>
  <si>
    <t>Комплексна програма соціальної підтримки окремих категорій громадян Олександрівської селищної ради 
на 2021-2025 роки</t>
  </si>
  <si>
    <t>Програма розвитку земельних відносин територіальної громади Олександрівської селищної ради 
на 2021-2023 роки</t>
  </si>
  <si>
    <t>Цільова програма "Цукровий діабет" 
на 2021-2025 роки</t>
  </si>
  <si>
    <t>Комплексна програма оздоровлення і відпочинку дітей Олександрівської селищної ради
 на 2021-2025 роки</t>
  </si>
  <si>
    <t>Програма соціально-економічного та культурного розвитку 
Олександрівської селищної ради 
на 2022-2024 роки</t>
  </si>
  <si>
    <t>Програма відшкодування витрат надавачам послуг за пільгове перевезення та зв"язок окремим категоріям громадян
 на 2022-2025 роки</t>
  </si>
  <si>
    <t>від 17.12.2021 №3126</t>
  </si>
  <si>
    <t>Програма охорони навколишнього природного середовища Олександрівської селищної ради Кропивницького району Кіровоградської області на 2022-2023 роки</t>
  </si>
  <si>
    <t>від 17.12.2021 №3131</t>
  </si>
  <si>
    <t>Програма розвитку дорожнього та мостового господарства та підвищення рівня безпеки дорожнього руху на автомобільних дорогах на території Олександрівської селищної ради Кропивницького району Кіровоградської області на 2022-2023 роки</t>
  </si>
  <si>
    <t>Забезпечення діяльності місцевої та добровільної пожежної охорони</t>
  </si>
  <si>
    <t>від 24.12.2020 №73, зі змінами від 02.04.2021 №400</t>
  </si>
  <si>
    <t xml:space="preserve">від 24.12.2020 №72, зі змінами від 02.04.2021 
№ 399
</t>
  </si>
  <si>
    <t>0118240</t>
  </si>
  <si>
    <t>8240</t>
  </si>
  <si>
    <t>Заходи та роботи з територіальної оборони</t>
  </si>
  <si>
    <t>від 17.12.2021 №3128</t>
  </si>
  <si>
    <t>0610</t>
  </si>
  <si>
    <t>Експлуатація та технічне обслуговування житлового фонду</t>
  </si>
  <si>
    <t>1216011</t>
  </si>
  <si>
    <t>ВИДАТКИ
на 2023 рік на виконання селищних програм</t>
  </si>
  <si>
    <t>Програма соціальної підтримки сімей з дітьми та осіб, які опинились в складних життєвих обставинах на 2022-2023 роки</t>
  </si>
  <si>
    <t>Програма "Підтримки комунального некомерційного підприємства "Олександрівський  центр первинної медико-санітарної допомоги" Олександрівської селищної ради Кропивницького району Кіровоградскої області" 
на 2023 рік</t>
  </si>
  <si>
    <t>Програма розвитку культури на території Олександрівської селищної ради на 2023 рік</t>
  </si>
  <si>
    <t>Програма вуличного освітлення населених пунктів Олександрівської селищної ради на 2023-2025 роки</t>
  </si>
  <si>
    <t>від 25.11.2022 №4006</t>
  </si>
  <si>
    <t>від 28.04.2021 №578, зі змінами від 25.11.2022 №4001</t>
  </si>
  <si>
    <t>від 25.11.2022 №4012</t>
  </si>
  <si>
    <t>від 24.12.2020 №80, зі змінами від 12.03.2021 р №260, від 29.06.2021 №1033, від 30.09.2021 №1996, від 12.08.2022 №3960, від 25.11.2022 №3998</t>
  </si>
  <si>
    <t>від 26.02.2021 №151, зі змінами від 22.07.2022 №3938, від 12.08.2022 №3961, від 25.11.2022 №4003</t>
  </si>
  <si>
    <t>від 28.04.2021 №577, зі змінами від 17.12.2021 №3127</t>
  </si>
  <si>
    <t xml:space="preserve"> Програма розвитку  освіти Олександрівської територіальної громади на період до 2027 року</t>
  </si>
  <si>
    <t>Селищний голова</t>
  </si>
  <si>
    <t>від 17.12.2021 №3125, зі змінами від 22.12.2022 №4099</t>
  </si>
  <si>
    <t>Надання загальної середньої освіти закладами загальної середньої освіти  за рахунок освітньої субвенції</t>
  </si>
  <si>
    <t xml:space="preserve">Код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</si>
  <si>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</si>
  <si>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</si>
  <si>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</si>
  <si>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 за рахунок зміни залишків коштів  бюджетів</t>
  </si>
  <si>
    <t>у тому числі за рахунок залишків коштів, що склалися на початок року</t>
  </si>
  <si>
    <t>з них за рахунок залишків коштів субвенцій з державного бюджету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</si>
  <si>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</si>
  <si>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</si>
  <si>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</si>
  <si>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рахунок:</t>
  </si>
  <si>
    <t>у тому числі за рахунок субвенцій з державного бюджету</t>
  </si>
  <si>
    <t>у тому числі за рахунок залишків коштів субвенцій з державного бюджету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</si>
  <si>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</si>
  <si>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</si>
  <si>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</si>
  <si>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</si>
  <si>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602000</t>
  </si>
  <si>
    <t>Зміни обсягів бюджетних коштів</t>
  </si>
  <si>
    <t>з них за рахунок залишків коштів  субвенцій з державного бюджету</t>
  </si>
  <si>
    <t>602100</t>
  </si>
  <si>
    <t>602200</t>
  </si>
  <si>
    <t>602400</t>
  </si>
  <si>
    <t>x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</si>
  <si>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</si>
  <si>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</si>
  <si>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</si>
  <si>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 т.ч: </t>
  </si>
  <si>
    <t>з обласного бюджету (за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періоду)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</si>
  <si>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</si>
  <si>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</si>
  <si>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</si>
  <si>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0443</t>
  </si>
  <si>
    <t>Будівництво 1 інших об'єктів комунальної власності</t>
  </si>
  <si>
    <t>Програма національно-патріотичних заходів відділу культури та туризму на 2023 рік на території Олександрівської селищної територіальної громади</t>
  </si>
  <si>
    <t>від 22.12.2022 №4102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</si>
  <si>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</si>
  <si>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</si>
  <si>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</si>
  <si>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утримання та ефективної експлуатації об"єктів житлово-комунального господарства на території Олександрівської селищної територіальної громади на 2023-2025 роки</t>
  </si>
  <si>
    <t>1216090</t>
  </si>
  <si>
    <t>Інша діяльність у сфері житлово-комунального господарства</t>
  </si>
  <si>
    <t>0640</t>
  </si>
  <si>
    <t>1217330</t>
  </si>
  <si>
    <t>1217670</t>
  </si>
  <si>
    <t>Внески до статутного капіталу суб'єктів господарювання</t>
  </si>
  <si>
    <t>1217693</t>
  </si>
  <si>
    <t>Інші заходи, пов'язані з економічною діяльністю</t>
  </si>
  <si>
    <t>Програма "Поліцейський офіцер громади"
 на 2023-2025 роки</t>
  </si>
  <si>
    <t>Програма підтримки органів виконавчої влади Кропивницького району Кіровоградської області на 2023 рік</t>
  </si>
  <si>
    <t>від 24.02.2023 №4160</t>
  </si>
  <si>
    <t>від 24.02.2023 №4155</t>
  </si>
  <si>
    <t>від 25.11.2022 №4005, зі змінами  від 24.02.2023 №4154</t>
  </si>
  <si>
    <t>Програма "Оборона" на території Олександрівської селищної ради на 2023 рік</t>
  </si>
  <si>
    <t>видатків Олександрівської селищної  територіальної громади на 2023 рік</t>
  </si>
  <si>
    <t>ФІНАНСУВАННЯ
бюджету Олександрівської  селищної територіальної громади   на 2023  рік</t>
  </si>
  <si>
    <t>0117680</t>
  </si>
  <si>
    <t>Членські внески до асоціацій органів місцевого самоврядування</t>
  </si>
  <si>
    <t>1213210</t>
  </si>
  <si>
    <t>3210</t>
  </si>
  <si>
    <t>Організація та проведення громадських робіт</t>
  </si>
  <si>
    <t>1050</t>
  </si>
  <si>
    <t>Програма "Членства у Всеукраїнській асоціації оранів місцевого самоврядування "Асоціація міст України" на 2023 рік</t>
  </si>
  <si>
    <t>Код Типо вої програмної класифікації видатків та кредитування місцевого бюджету</t>
  </si>
  <si>
    <t xml:space="preserve">від 24.12.2020 №71 зі змінами від 02.04.2021р 
№398, від 21.04.2023 №4269
</t>
  </si>
  <si>
    <t>від 21.04.2023 №4268</t>
  </si>
  <si>
    <t xml:space="preserve">Додаток 1 </t>
  </si>
  <si>
    <t>ДОХОДИ</t>
  </si>
  <si>
    <t xml:space="preserve"> бюджету Олександрівської територіальної громади на 2023 рік</t>
  </si>
  <si>
    <t>Код</t>
  </si>
  <si>
    <t>Найменування згідно 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</si>
  <si>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</si>
  <si>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</si>
  <si>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</si>
  <si>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</si>
  <si>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</si>
  <si>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</si>
  <si>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</si>
  <si>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</si>
  <si>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</si>
  <si>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</si>
  <si>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</si>
  <si>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</si>
  <si>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</si>
  <si>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</si>
  <si>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</si>
  <si>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</si>
  <si>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</si>
  <si>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</si>
  <si>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</si>
  <si>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</si>
  <si>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</si>
  <si>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 імпортерами, у тому числі з роздрібної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підпунктами 213.1.14 пункту 213.1 статті 213  Податкового кодексу України</t>
  </si>
  <si>
    <t>Акцизний податок з реалізації суб`єктами господарювання роздрібної торгівлі підакцизних товарів (крім тих, що оподптковуються згідно з підпунктами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</si>
  <si>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</si>
  <si>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</si>
  <si>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</si>
  <si>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</si>
  <si>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</si>
  <si>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</si>
  <si>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</si>
  <si>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</si>
  <si>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</si>
  <si>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</si>
  <si>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</si>
  <si>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</si>
  <si>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</si>
  <si>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</si>
  <si>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</si>
  <si>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</si>
  <si>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</si>
  <si>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</si>
  <si>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</si>
  <si>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</si>
  <si>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</si>
  <si>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</si>
  <si>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</si>
  <si>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</si>
  <si>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</si>
  <si>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</si>
  <si>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</si>
  <si>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</si>
  <si>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</si>
  <si>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</si>
  <si>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</si>
  <si>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</si>
  <si>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</si>
  <si>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</si>
  <si>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</si>
  <si>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</si>
  <si>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</si>
  <si>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</si>
  <si>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</si>
  <si>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</si>
  <si>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</si>
  <si>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</si>
  <si>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</si>
  <si>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</si>
  <si>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</si>
  <si>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</si>
  <si>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</si>
  <si>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</si>
  <si>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</si>
  <si>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</si>
  <si>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</si>
  <si>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</si>
  <si>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</si>
  <si>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</si>
  <si>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</si>
  <si>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</si>
  <si>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×</t>
  </si>
  <si>
    <t>Разом доходів</t>
  </si>
  <si>
    <t xml:space="preserve">Додаток 6 </t>
  </si>
  <si>
    <t>ОБСЯГИ</t>
  </si>
  <si>
    <t>капітальних вкладень бюджету Олександрівської територіальної громади у розрізі інвестиційних проектів</t>
  </si>
  <si>
    <t>у 2023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</si>
  <si>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</si>
  <si>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</si>
  <si>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</si>
  <si>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</si>
  <si>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</si>
  <si>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</si>
  <si>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</si>
  <si>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"Капітальний ремонт приміщень терапевтичного відділення комунального некомерційного підприємства «Олександрівська лікарня» Олександрівської селищної ради Кропивницького району Кіровоградської області, смт. Олександрівка, вулиця Шевченка 57"  </t>
  </si>
  <si>
    <t>"Капітальний ремонт приміщень Олександрівського закладу дошкільної освіти (ясла-садок) №3 Олександрівської селищної ради Кропивницького району Кіровоградської області  по пров. Зелений, 8 в смт. Олександрівка. Коригування"</t>
  </si>
  <si>
    <t>2021-2023</t>
  </si>
  <si>
    <t>"Капітальний ремонт Красносільського закладу дошкільної освіти (дитячий садок) Олександрівської селищної ради Кропивницького району Кіровоградської області. 27326 с. Красносілля, вул. Нова, буд. 12 (коригування)"</t>
  </si>
  <si>
    <t>1117330</t>
  </si>
  <si>
    <t xml:space="preserve">"Реконструкція легкоатлетичної доріжки та баскетбольного майданчика на стадіоні ім.М.Шишки в  смт Олександрівка" (з виготовленням проєктно-кошторисної документації) 
</t>
  </si>
  <si>
    <t>"Будівництво легкоатлетичного манежу, тентового ангару для ігрових видів спорту на стадіоні           
ім. М.Шишки в смт Олександрівка" (з виготовленням  проєктно-кошторисної документації)</t>
  </si>
  <si>
    <t>"Капітальний ремонт громадського будинку з господарськими (допоміжними) будівлями та спорудами за адресою: вулиця Шевченка, 84, в с.Бірки, Кропивницького району, Кіровоградської області"</t>
  </si>
  <si>
    <t>х</t>
  </si>
  <si>
    <t>"Реконструкція мереж вуличного освітлення по вул.Незалежності України, смт.Олександрівка, Кропивницького району, Кіровоградської області (з виготовленням проєктно-кошторисної документації)"</t>
  </si>
  <si>
    <t>"Система пожежної сигналізації, передачі тривожних сповіщень, оповіщення про пожежу та управління евакуацією людей «Будівля КЗ «Олександрівський ліцей №2» Олександрівської селищної ради Кропивницького району Кіровоградської області по вул. Незалежності України, 89 в смт. Олександрівці Кіровоградської області"(з виготовленням проєктно-кошторисної документації)</t>
  </si>
  <si>
    <t xml:space="preserve"> 
Інші субвенції з місцевого бюджету</t>
  </si>
  <si>
    <t>2023-2024</t>
  </si>
  <si>
    <t xml:space="preserve">до рішення Олександрівської селищної ради 
"24 " лютого 2023 року №4156 (в редакції рішення селищної ради
"___" ________  2023 року №____)
</t>
  </si>
  <si>
    <t xml:space="preserve">Додаток  5
до рішення Олександрівської селищної ради 
"24 " лютого 2023 року №4156  (в редакції рішення селищної ради
"___" _________ 2023 року №____)
</t>
  </si>
  <si>
    <t xml:space="preserve">до рішення Олександрівської селищної ради 
"22" грудня  2022 року №4098
 (в редакції рішення селищної ради
"__" _________ 2023 року №____)
</t>
  </si>
  <si>
    <t>Додаток  2
до рішення Олександрівської селищної ради 
"22" грудня  2022 року №4098
 (в редакції рішення селищної ради
"____" _________ 2023 року №____)</t>
  </si>
  <si>
    <t>до рішення Олександрівської селищної ради
 "22" грудня  2022 року №4098 (в редакції рішення селищної ради
"__" ________  2023 року №____)</t>
  </si>
  <si>
    <t>Додаток 3</t>
  </si>
  <si>
    <t>Міжбюджетні трансферти на 2023 рік</t>
  </si>
  <si>
    <t>11542000000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</si>
  <si>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</si>
  <si>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</si>
  <si>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</si>
  <si>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</si>
  <si>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</si>
  <si>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</si>
  <si>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</si>
  <si>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</si>
  <si>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Інші дотації з місцевого бюджету</t>
  </si>
  <si>
    <t>11100000000</t>
  </si>
  <si>
    <t>Обласний бюджет Кіровоградської області</t>
  </si>
  <si>
    <t>41051000</t>
  </si>
  <si>
    <t>41051200</t>
  </si>
  <si>
    <t>ІІ. Трансферти до спеціального фонду бюджету</t>
  </si>
  <si>
    <t>-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</si>
  <si>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</si>
  <si>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</si>
  <si>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</si>
  <si>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</si>
  <si>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</si>
  <si>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</si>
  <si>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</si>
  <si>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</si>
  <si>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</si>
  <si>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у тому числі:</t>
  </si>
  <si>
    <t>для    Кропивницького районного управління поліції ГУНП в Кіровоградській області</t>
  </si>
  <si>
    <t>для 1 державного пожежно-рятувального загону Головного управління ДСНС України у Кіровоградській області</t>
  </si>
  <si>
    <t xml:space="preserve">на виконання заходів Програми  "Оборона" на території Олександрівської селищної ради на 2023 рік  </t>
  </si>
  <si>
    <t>Кропивницькій районній військовій адміністрації для Олександрівського відділу з питань призначення та виплати державних соціальних допомог управління соціального захисту Кропивницької районної військової адміністрації</t>
  </si>
  <si>
    <t xml:space="preserve">Кропивницькій районній військовій адміністрації </t>
  </si>
  <si>
    <t>ІІ. Трансферти із спеціального фонду бюджету</t>
  </si>
  <si>
    <t>Селищний голова                                                                            Олександр БЕЗПЕЧНИЙ</t>
  </si>
  <si>
    <t>до рішення Олександрівської селищної ради 
"22" грудня  2022 року №4098
 (в редакції рішення селищної ради
"___" ________  2023 року №___)</t>
  </si>
  <si>
    <t xml:space="preserve"> Інші субвенції з місцевого бюджету</t>
  </si>
  <si>
    <t>Кіровоградській обласній прокуратурі (для Олександрівського відділу Знам"янської окружної прокуратури)</t>
  </si>
  <si>
    <t>Комплекна програма профілактики злочинності і правопорушень на 2021-2025 роки</t>
  </si>
  <si>
    <t>КНП "Центр екстренної медичної допомоги та медицини катастроф у Кіровоградській області Кіровоградської обласної ради (для Олександрівського пункту екстреної медичної допомоги)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</si>
  <si>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</si>
  <si>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0813230</t>
  </si>
  <si>
    <t>Комплексна програма підтримки внутрішньо переміщених осіб на період 2023-2025 років</t>
  </si>
  <si>
    <t>від 25.11.2022 №4007, зі змінами від 23.06.2023 
№4496</t>
  </si>
  <si>
    <t>від 28.04.2021 №574 (зі змінами від 25.11.2022 №4004, від 23.06.2023 4499)</t>
  </si>
  <si>
    <t>від 23.06.2023 №4503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</si>
</sst>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  <numFmt numFmtId="179" formatCode="0.0000"/>
    <numFmt numFmtId="180" formatCode="0.000"/>
    <numFmt numFmtId="181" formatCode="0.00000"/>
    <numFmt numFmtId="182" formatCode="#,##0.00;\-#,##0.00"/>
    <numFmt numFmtId="183" formatCode="#,##0.00;\-#,##0.00;#,&quot;-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sz val="10"/>
      <color indexed="8"/>
      <name val="ARIAL"/>
      <family val="0"/>
    </font>
    <font>
      <b/>
      <sz val="18"/>
      <name val="Times New Roman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0"/>
    </font>
    <font>
      <sz val="11"/>
      <name val="Times New Roman"/>
      <family val="0"/>
    </font>
    <font>
      <sz val="10"/>
      <name val="Helv"/>
      <family val="0"/>
    </font>
    <font>
      <u val="single"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>
      <alignment vertical="top"/>
      <protection/>
    </xf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0" fontId="12" fillId="0" borderId="0" xfId="0" applyNumberFormat="1" applyFont="1" applyFill="1" applyAlignment="1" applyProtection="1">
      <alignment/>
      <protection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justify" wrapText="1"/>
    </xf>
    <xf numFmtId="1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10" xfId="50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 wrapText="1"/>
    </xf>
    <xf numFmtId="177" fontId="7" fillId="0" borderId="10" xfId="50" applyNumberFormat="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5" fillId="0" borderId="10" xfId="50" applyNumberFormat="1" applyFont="1" applyFill="1" applyBorder="1" applyAlignment="1">
      <alignment vertical="top" wrapText="1"/>
      <protection/>
    </xf>
    <xf numFmtId="49" fontId="32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177" fontId="5" fillId="0" borderId="12" xfId="50" applyNumberFormat="1" applyFont="1" applyFill="1" applyBorder="1" applyAlignment="1">
      <alignment vertical="top" wrapText="1"/>
      <protection/>
    </xf>
    <xf numFmtId="49" fontId="7" fillId="0" borderId="10" xfId="0" applyNumberFormat="1" applyFont="1" applyFill="1" applyBorder="1" applyAlignment="1">
      <alignment horizontal="justify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top" wrapText="1"/>
    </xf>
    <xf numFmtId="177" fontId="7" fillId="0" borderId="10" xfId="50" applyNumberFormat="1" applyFont="1" applyFill="1" applyBorder="1" applyAlignment="1">
      <alignment horizontal="center" vertical="top" wrapText="1"/>
      <protection/>
    </xf>
    <xf numFmtId="0" fontId="5" fillId="0" borderId="1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10" xfId="0" applyNumberFormat="1" applyFont="1" applyFill="1" applyBorder="1" applyAlignment="1">
      <alignment horizontal="left" vertical="top" wrapText="1"/>
    </xf>
    <xf numFmtId="2" fontId="32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50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Alignment="1">
      <alignment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2" fontId="7" fillId="0" borderId="10" xfId="50" applyNumberFormat="1" applyFont="1" applyFill="1" applyBorder="1" applyAlignment="1">
      <alignment horizontal="right" vertical="top" wrapText="1"/>
      <protection/>
    </xf>
    <xf numFmtId="2" fontId="7" fillId="0" borderId="0" xfId="50" applyNumberFormat="1" applyFont="1" applyFill="1" applyBorder="1" applyAlignment="1">
      <alignment horizontal="right" vertical="top" wrapText="1"/>
      <protection/>
    </xf>
    <xf numFmtId="2" fontId="7" fillId="0" borderId="10" xfId="50" applyNumberFormat="1" applyFont="1" applyFill="1" applyBorder="1" applyAlignment="1">
      <alignment vertical="top" wrapText="1"/>
      <protection/>
    </xf>
    <xf numFmtId="2" fontId="5" fillId="0" borderId="10" xfId="50" applyNumberFormat="1" applyFont="1" applyFill="1" applyBorder="1" applyAlignment="1">
      <alignment vertical="top" wrapText="1"/>
      <protection/>
    </xf>
    <xf numFmtId="2" fontId="5" fillId="0" borderId="12" xfId="50" applyNumberFormat="1" applyFont="1" applyFill="1" applyBorder="1" applyAlignment="1">
      <alignment horizontal="right" vertical="top" wrapText="1"/>
      <protection/>
    </xf>
    <xf numFmtId="2" fontId="7" fillId="0" borderId="12" xfId="50" applyNumberFormat="1" applyFont="1" applyFill="1" applyBorder="1" applyAlignment="1">
      <alignment horizontal="right" vertical="top" wrapText="1"/>
      <protection/>
    </xf>
    <xf numFmtId="2" fontId="7" fillId="0" borderId="14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7" fillId="0" borderId="14" xfId="50" applyNumberFormat="1" applyFont="1" applyFill="1" applyBorder="1" applyAlignment="1">
      <alignment vertical="top" wrapText="1"/>
      <protection/>
    </xf>
    <xf numFmtId="2" fontId="7" fillId="0" borderId="1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 horizontal="right" vertical="top" wrapText="1"/>
      <protection/>
    </xf>
    <xf numFmtId="1" fontId="7" fillId="0" borderId="0" xfId="0" applyNumberFormat="1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2" fontId="5" fillId="0" borderId="14" xfId="0" applyNumberFormat="1" applyFont="1" applyFill="1" applyBorder="1" applyAlignment="1">
      <alignment horizontal="right" vertical="top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distributed" wrapText="1"/>
    </xf>
    <xf numFmtId="0" fontId="13" fillId="0" borderId="19" xfId="0" applyFont="1" applyFill="1" applyBorder="1" applyAlignment="1">
      <alignment horizontal="center" vertical="distributed" wrapText="1"/>
    </xf>
    <xf numFmtId="0" fontId="13" fillId="0" borderId="22" xfId="0" applyFont="1" applyFill="1" applyBorder="1" applyAlignment="1">
      <alignment horizontal="center" vertical="distributed" wrapText="1"/>
    </xf>
    <xf numFmtId="0" fontId="13" fillId="0" borderId="23" xfId="0" applyFont="1" applyFill="1" applyBorder="1" applyAlignment="1">
      <alignment horizontal="center" vertical="distributed" wrapText="1"/>
    </xf>
    <xf numFmtId="0" fontId="37" fillId="0" borderId="24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left" vertical="top" wrapText="1"/>
    </xf>
    <xf numFmtId="4" fontId="37" fillId="0" borderId="25" xfId="0" applyNumberFormat="1" applyFont="1" applyFill="1" applyBorder="1" applyAlignment="1">
      <alignment horizontal="right" vertical="top" wrapText="1"/>
    </xf>
    <xf numFmtId="4" fontId="37" fillId="0" borderId="11" xfId="0" applyNumberFormat="1" applyFont="1" applyFill="1" applyBorder="1" applyAlignment="1">
      <alignment horizontal="right" vertical="top" wrapText="1"/>
    </xf>
    <xf numFmtId="4" fontId="37" fillId="0" borderId="26" xfId="0" applyNumberFormat="1" applyFont="1" applyFill="1" applyBorder="1" applyAlignment="1">
      <alignment horizontal="right" vertical="top" wrapText="1"/>
    </xf>
    <xf numFmtId="0" fontId="37" fillId="0" borderId="27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left" vertical="top" wrapText="1"/>
    </xf>
    <xf numFmtId="4" fontId="37" fillId="0" borderId="27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Alignment="1" applyProtection="1">
      <alignment/>
      <protection/>
    </xf>
    <xf numFmtId="0" fontId="37" fillId="0" borderId="28" xfId="0" applyFont="1" applyFill="1" applyBorder="1" applyAlignment="1">
      <alignment horizontal="center" vertical="top" wrapText="1"/>
    </xf>
    <xf numFmtId="4" fontId="37" fillId="0" borderId="17" xfId="0" applyNumberFormat="1" applyFont="1" applyFill="1" applyBorder="1" applyAlignment="1">
      <alignment horizontal="right" vertical="top" wrapText="1"/>
    </xf>
    <xf numFmtId="4" fontId="37" fillId="0" borderId="29" xfId="0" applyNumberFormat="1" applyFont="1" applyFill="1" applyBorder="1" applyAlignment="1">
      <alignment horizontal="right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7" fillId="0" borderId="31" xfId="0" applyFont="1" applyFill="1" applyBorder="1" applyAlignment="1">
      <alignment horizontal="left" vertical="top" wrapText="1"/>
    </xf>
    <xf numFmtId="4" fontId="37" fillId="0" borderId="31" xfId="0" applyNumberFormat="1" applyFont="1" applyFill="1" applyBorder="1" applyAlignment="1">
      <alignment horizontal="right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left" vertical="top" wrapText="1"/>
    </xf>
    <xf numFmtId="4" fontId="37" fillId="0" borderId="19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4" fontId="37" fillId="0" borderId="23" xfId="0" applyNumberFormat="1" applyFont="1" applyFill="1" applyBorder="1" applyAlignment="1">
      <alignment horizontal="right" vertical="top" wrapText="1"/>
    </xf>
    <xf numFmtId="49" fontId="37" fillId="0" borderId="28" xfId="0" applyNumberFormat="1" applyFont="1" applyFill="1" applyBorder="1" applyAlignment="1">
      <alignment horizontal="center" vertical="top"/>
    </xf>
    <xf numFmtId="4" fontId="37" fillId="0" borderId="27" xfId="0" applyNumberFormat="1" applyFont="1" applyFill="1" applyBorder="1" applyAlignment="1">
      <alignment horizontal="right" vertical="top"/>
    </xf>
    <xf numFmtId="4" fontId="37" fillId="0" borderId="29" xfId="0" applyNumberFormat="1" applyFont="1" applyFill="1" applyBorder="1" applyAlignment="1">
      <alignment horizontal="right" vertical="top"/>
    </xf>
    <xf numFmtId="49" fontId="37" fillId="0" borderId="27" xfId="0" applyNumberFormat="1" applyFont="1" applyFill="1" applyBorder="1" applyAlignment="1">
      <alignment horizontal="center" vertical="top"/>
    </xf>
    <xf numFmtId="4" fontId="37" fillId="0" borderId="31" xfId="0" applyNumberFormat="1" applyFont="1" applyFill="1" applyBorder="1" applyAlignment="1">
      <alignment horizontal="right" vertical="top"/>
    </xf>
    <xf numFmtId="4" fontId="37" fillId="0" borderId="32" xfId="0" applyNumberFormat="1" applyFont="1" applyFill="1" applyBorder="1" applyAlignment="1">
      <alignment horizontal="right" vertical="top"/>
    </xf>
    <xf numFmtId="4" fontId="37" fillId="0" borderId="19" xfId="0" applyNumberFormat="1" applyFont="1" applyFill="1" applyBorder="1" applyAlignment="1">
      <alignment vertical="top"/>
    </xf>
    <xf numFmtId="4" fontId="37" fillId="0" borderId="22" xfId="0" applyNumberFormat="1" applyFont="1" applyFill="1" applyBorder="1" applyAlignment="1">
      <alignment vertical="top" wrapText="1"/>
    </xf>
    <xf numFmtId="4" fontId="37" fillId="0" borderId="23" xfId="0" applyNumberFormat="1" applyFont="1" applyFill="1" applyBorder="1" applyAlignment="1">
      <alignment vertical="top"/>
    </xf>
    <xf numFmtId="0" fontId="38" fillId="0" borderId="10" xfId="0" applyFont="1" applyFill="1" applyBorder="1" applyAlignment="1">
      <alignment horizontal="justify" wrapText="1"/>
    </xf>
    <xf numFmtId="1" fontId="39" fillId="0" borderId="10" xfId="0" applyNumberFormat="1" applyFont="1" applyFill="1" applyBorder="1" applyAlignment="1">
      <alignment vertical="top"/>
    </xf>
    <xf numFmtId="1" fontId="39" fillId="0" borderId="10" xfId="0" applyNumberFormat="1" applyFont="1" applyFill="1" applyBorder="1" applyAlignment="1">
      <alignment horizontal="right" wrapText="1"/>
    </xf>
    <xf numFmtId="1" fontId="39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top" wrapText="1"/>
    </xf>
    <xf numFmtId="2" fontId="40" fillId="0" borderId="10" xfId="0" applyNumberFormat="1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textRotation="90" wrapText="1"/>
    </xf>
    <xf numFmtId="0" fontId="8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9" fontId="7" fillId="0" borderId="33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wrapText="1"/>
    </xf>
    <xf numFmtId="1" fontId="1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5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177" fontId="7" fillId="0" borderId="12" xfId="50" applyNumberFormat="1" applyFont="1" applyFill="1" applyBorder="1" applyAlignment="1">
      <alignment horizontal="center" vertical="top" wrapText="1"/>
      <protection/>
    </xf>
    <xf numFmtId="0" fontId="42" fillId="0" borderId="0" xfId="0" applyFont="1" applyFill="1" applyAlignment="1" quotePrefix="1">
      <alignment horizont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 vertical="top" wrapText="1"/>
    </xf>
    <xf numFmtId="0" fontId="4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NumberFormat="1" applyFont="1" applyFill="1" applyAlignment="1" applyProtection="1">
      <alignment vertical="top" wrapText="1"/>
      <protection/>
    </xf>
    <xf numFmtId="0" fontId="5" fillId="0" borderId="33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177" fontId="7" fillId="0" borderId="12" xfId="50" applyNumberFormat="1" applyFont="1" applyFill="1" applyBorder="1" applyAlignment="1">
      <alignment horizontal="center" vertical="top" wrapText="1"/>
      <protection/>
    </xf>
    <xf numFmtId="177" fontId="7" fillId="0" borderId="14" xfId="50" applyNumberFormat="1" applyFont="1" applyFill="1" applyBorder="1" applyAlignment="1">
      <alignment horizontal="center" vertical="top" wrapText="1"/>
      <protection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177" fontId="7" fillId="0" borderId="12" xfId="50" applyNumberFormat="1" applyFont="1" applyFill="1" applyBorder="1" applyAlignment="1">
      <alignment horizontal="center" vertical="center" wrapText="1"/>
      <protection/>
    </xf>
    <xf numFmtId="177" fontId="7" fillId="0" borderId="18" xfId="50" applyNumberFormat="1" applyFont="1" applyFill="1" applyBorder="1" applyAlignment="1">
      <alignment horizontal="center" vertical="center" wrapText="1"/>
      <protection/>
    </xf>
    <xf numFmtId="177" fontId="7" fillId="0" borderId="14" xfId="50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6" fillId="0" borderId="21" xfId="0" applyFont="1" applyFill="1" applyBorder="1" applyAlignment="1">
      <alignment horizontal="center" vertical="distributed" wrapText="1"/>
    </xf>
    <xf numFmtId="0" fontId="36" fillId="0" borderId="22" xfId="0" applyFont="1" applyFill="1" applyBorder="1" applyAlignment="1">
      <alignment horizontal="center" vertical="distributed" wrapText="1"/>
    </xf>
    <xf numFmtId="0" fontId="36" fillId="0" borderId="23" xfId="0" applyFont="1" applyFill="1" applyBorder="1" applyAlignment="1">
      <alignment horizontal="center" vertical="distributed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A71">
      <selection activeCell="A105" sqref="A105:A205"/>
    </sheetView>
  </sheetViews>
  <sheetFormatPr defaultColWidth="9.00390625" defaultRowHeight="12.75"/>
  <cols>
    <col min="1" max="1" width="15.875" style="40" customWidth="1"/>
    <col min="2" max="2" width="70.125" style="40" customWidth="1"/>
    <col min="3" max="3" width="20.625" style="40" customWidth="1"/>
    <col min="4" max="4" width="14.875" style="40" customWidth="1"/>
    <col min="5" max="5" width="11.375" style="40" customWidth="1"/>
    <col min="6" max="6" width="12.875" style="40" customWidth="1"/>
    <col min="7" max="8" width="12.875" style="40" bestFit="1" customWidth="1"/>
    <col min="9" max="16384" width="9.125" style="40" customWidth="1"/>
  </cols>
  <sheetData>
    <row r="1" spans="3:6" ht="18.75">
      <c r="C1" s="280" t="s">
        <v>325</v>
      </c>
      <c r="D1" s="280"/>
      <c r="E1" s="280"/>
      <c r="F1" s="280"/>
    </row>
    <row r="2" spans="3:6" ht="82.5" customHeight="1">
      <c r="C2" s="281" t="s">
        <v>439</v>
      </c>
      <c r="D2" s="281"/>
      <c r="E2" s="281"/>
      <c r="F2" s="281"/>
    </row>
    <row r="3" spans="1:6" ht="20.25">
      <c r="A3" s="282" t="s">
        <v>326</v>
      </c>
      <c r="B3" s="282"/>
      <c r="C3" s="282"/>
      <c r="D3" s="282"/>
      <c r="E3" s="282"/>
      <c r="F3" s="282"/>
    </row>
    <row r="4" spans="1:6" ht="17.25" customHeight="1">
      <c r="A4" s="282" t="s">
        <v>327</v>
      </c>
      <c r="B4" s="282"/>
      <c r="C4" s="282"/>
      <c r="D4" s="282"/>
      <c r="E4" s="282"/>
      <c r="F4" s="282"/>
    </row>
    <row r="5" spans="1:6" ht="6" customHeight="1" hidden="1">
      <c r="A5" s="42"/>
      <c r="B5" s="42"/>
      <c r="C5" s="42"/>
      <c r="D5" s="42"/>
      <c r="E5" s="42"/>
      <c r="F5" s="42"/>
    </row>
    <row r="6" spans="1:5" ht="2.25" customHeight="1">
      <c r="A6" s="42"/>
      <c r="B6" s="42"/>
      <c r="C6" s="42"/>
      <c r="D6" s="42"/>
      <c r="E6" s="42"/>
    </row>
    <row r="7" spans="1:6" ht="18.75">
      <c r="A7" s="218">
        <v>11542000000</v>
      </c>
      <c r="B7" s="42"/>
      <c r="C7" s="42"/>
      <c r="D7" s="42"/>
      <c r="E7" s="42"/>
      <c r="F7" s="42"/>
    </row>
    <row r="8" spans="1:6" ht="18.75">
      <c r="A8" s="32" t="s">
        <v>104</v>
      </c>
      <c r="B8" s="42"/>
      <c r="C8" s="42"/>
      <c r="D8" s="42"/>
      <c r="E8" s="42"/>
      <c r="F8" s="42"/>
    </row>
    <row r="9" spans="1:6" ht="18.75">
      <c r="A9" s="42"/>
      <c r="B9" s="42"/>
      <c r="C9" s="42"/>
      <c r="D9" s="42"/>
      <c r="E9" s="42"/>
      <c r="F9" s="97" t="s">
        <v>120</v>
      </c>
    </row>
    <row r="10" spans="1:6" ht="47.25" customHeight="1">
      <c r="A10" s="283" t="s">
        <v>328</v>
      </c>
      <c r="B10" s="284" t="s">
        <v>329</v>
      </c>
      <c r="C10" s="286" t="s">
        <v>18</v>
      </c>
      <c r="D10" s="286" t="s">
        <v>19</v>
      </c>
      <c r="E10" s="283" t="s">
        <v>20</v>
      </c>
      <c r="F10" s="283"/>
    </row>
    <row r="11" spans="1:6" ht="82.5" customHeight="1">
      <c r="A11" s="283"/>
      <c r="B11" s="285"/>
      <c r="C11" s="286"/>
      <c r="D11" s="286"/>
      <c r="E11" s="41" t="s">
        <v>21</v>
      </c>
      <c r="F11" s="219" t="s">
        <v>22</v>
      </c>
    </row>
    <row r="12" spans="1:6" ht="18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</row>
    <row r="13" spans="1:6" ht="20.25">
      <c r="A13" s="220">
        <v>10000000</v>
      </c>
      <c r="B13" s="221" t="s">
        <v>330</v>
      </c>
      <c r="C13" s="200">
        <f>D13+E13</f>
        <v>175918650</v>
      </c>
      <c r="D13" s="199">
        <f>D14+D22+D30+D38+D56</f>
        <v>175858650</v>
      </c>
      <c r="E13" s="199">
        <f>E56</f>
        <v>60000</v>
      </c>
      <c r="F13" s="195"/>
    </row>
    <row r="14" spans="1:6" ht="40.5" customHeight="1">
      <c r="A14" s="194">
        <v>11000000</v>
      </c>
      <c r="B14" s="6" t="s">
        <v>331</v>
      </c>
      <c r="C14" s="195">
        <f aca="true" t="shared" si="0" ref="C14:C81">D14+E14</f>
        <v>121860650</v>
      </c>
      <c r="D14" s="195">
        <f>D15+D20</f>
        <v>121860650</v>
      </c>
      <c r="E14" s="195"/>
      <c r="F14" s="195"/>
    </row>
    <row r="15" spans="1:6" ht="18.75">
      <c r="A15" s="194">
        <v>11010000</v>
      </c>
      <c r="B15" s="6" t="s">
        <v>332</v>
      </c>
      <c r="C15" s="195">
        <f t="shared" si="0"/>
        <v>121858650</v>
      </c>
      <c r="D15" s="195">
        <f>D16+D17+D18+D19</f>
        <v>121858650</v>
      </c>
      <c r="E15" s="196"/>
      <c r="F15" s="196"/>
    </row>
    <row r="16" spans="1:6" ht="55.5" customHeight="1">
      <c r="A16" s="194">
        <v>11010100</v>
      </c>
      <c r="B16" s="6" t="s">
        <v>333</v>
      </c>
      <c r="C16" s="195">
        <f t="shared" si="0"/>
        <v>70120000</v>
      </c>
      <c r="D16" s="195">
        <f>68000000+2120000</f>
        <v>70120000</v>
      </c>
      <c r="E16" s="196"/>
      <c r="F16" s="196"/>
    </row>
    <row r="17" spans="1:6" ht="99.75" customHeight="1">
      <c r="A17" s="194">
        <v>11010200</v>
      </c>
      <c r="B17" s="6" t="s">
        <v>334</v>
      </c>
      <c r="C17" s="195">
        <f t="shared" si="0"/>
        <v>29638650</v>
      </c>
      <c r="D17" s="195">
        <f>24400000+1000000+900000+991650+2037000+200000+10000+100000</f>
        <v>29638650</v>
      </c>
      <c r="E17" s="196"/>
      <c r="F17" s="196"/>
    </row>
    <row r="18" spans="1:6" ht="56.25" customHeight="1">
      <c r="A18" s="194">
        <v>11010400</v>
      </c>
      <c r="B18" s="6" t="s">
        <v>335</v>
      </c>
      <c r="C18" s="195">
        <f t="shared" si="0"/>
        <v>20400000</v>
      </c>
      <c r="D18" s="195">
        <v>20400000</v>
      </c>
      <c r="E18" s="196"/>
      <c r="F18" s="196"/>
    </row>
    <row r="19" spans="1:6" ht="57.75" customHeight="1">
      <c r="A19" s="194">
        <v>11010500</v>
      </c>
      <c r="B19" s="6" t="s">
        <v>336</v>
      </c>
      <c r="C19" s="195">
        <f t="shared" si="0"/>
        <v>1700000</v>
      </c>
      <c r="D19" s="195">
        <v>1700000</v>
      </c>
      <c r="E19" s="196"/>
      <c r="F19" s="196"/>
    </row>
    <row r="20" spans="1:6" ht="18.75">
      <c r="A20" s="194">
        <v>11020000</v>
      </c>
      <c r="B20" s="6" t="s">
        <v>337</v>
      </c>
      <c r="C20" s="195">
        <f t="shared" si="0"/>
        <v>2000</v>
      </c>
      <c r="D20" s="195">
        <f>D21</f>
        <v>2000</v>
      </c>
      <c r="E20" s="196"/>
      <c r="F20" s="196"/>
    </row>
    <row r="21" spans="1:6" ht="39.75" customHeight="1">
      <c r="A21" s="194">
        <v>11020200</v>
      </c>
      <c r="B21" s="6" t="s">
        <v>338</v>
      </c>
      <c r="C21" s="195">
        <f t="shared" si="0"/>
        <v>2000</v>
      </c>
      <c r="D21" s="195">
        <v>2000</v>
      </c>
      <c r="E21" s="196"/>
      <c r="F21" s="196"/>
    </row>
    <row r="22" spans="1:6" ht="38.25" customHeight="1">
      <c r="A22" s="197">
        <v>13000000</v>
      </c>
      <c r="B22" s="198" t="s">
        <v>339</v>
      </c>
      <c r="C22" s="199">
        <f t="shared" si="0"/>
        <v>2598000</v>
      </c>
      <c r="D22" s="199">
        <f>D23+D27</f>
        <v>2598000</v>
      </c>
      <c r="E22" s="196"/>
      <c r="F22" s="196"/>
    </row>
    <row r="23" spans="1:6" ht="32.25" customHeight="1">
      <c r="A23" s="194">
        <v>13010000</v>
      </c>
      <c r="B23" s="6" t="s">
        <v>340</v>
      </c>
      <c r="C23" s="195">
        <f>C25+C26</f>
        <v>2590000</v>
      </c>
      <c r="D23" s="195">
        <f>D25+D26</f>
        <v>2590000</v>
      </c>
      <c r="E23" s="196"/>
      <c r="F23" s="196"/>
    </row>
    <row r="24" spans="1:6" ht="60" customHeight="1" hidden="1">
      <c r="A24" s="194">
        <v>13010100</v>
      </c>
      <c r="B24" s="6" t="s">
        <v>341</v>
      </c>
      <c r="C24" s="195">
        <f t="shared" si="0"/>
        <v>0</v>
      </c>
      <c r="D24" s="195"/>
      <c r="E24" s="196"/>
      <c r="F24" s="196"/>
    </row>
    <row r="25" spans="1:6" ht="60" customHeight="1">
      <c r="A25" s="194">
        <v>13010100</v>
      </c>
      <c r="B25" s="6" t="s">
        <v>341</v>
      </c>
      <c r="C25" s="195">
        <f t="shared" si="0"/>
        <v>600000</v>
      </c>
      <c r="D25" s="195">
        <v>600000</v>
      </c>
      <c r="E25" s="196"/>
      <c r="F25" s="196"/>
    </row>
    <row r="26" spans="1:6" ht="77.25" customHeight="1">
      <c r="A26" s="194">
        <v>13010200</v>
      </c>
      <c r="B26" s="6" t="s">
        <v>342</v>
      </c>
      <c r="C26" s="195">
        <f t="shared" si="0"/>
        <v>1990000</v>
      </c>
      <c r="D26" s="195">
        <v>1990000</v>
      </c>
      <c r="E26" s="196"/>
      <c r="F26" s="196"/>
    </row>
    <row r="27" spans="1:6" ht="50.25" customHeight="1">
      <c r="A27" s="194">
        <v>13030000</v>
      </c>
      <c r="B27" s="6" t="s">
        <v>343</v>
      </c>
      <c r="C27" s="195">
        <f t="shared" si="0"/>
        <v>8000</v>
      </c>
      <c r="D27" s="195">
        <f>D28</f>
        <v>8000</v>
      </c>
      <c r="E27" s="196"/>
      <c r="F27" s="196"/>
    </row>
    <row r="28" spans="1:6" ht="52.5" customHeight="1">
      <c r="A28" s="194">
        <v>13030100</v>
      </c>
      <c r="B28" s="6" t="s">
        <v>344</v>
      </c>
      <c r="C28" s="195">
        <f t="shared" si="0"/>
        <v>8000</v>
      </c>
      <c r="D28" s="195">
        <v>8000</v>
      </c>
      <c r="E28" s="196"/>
      <c r="F28" s="196"/>
    </row>
    <row r="29" spans="1:6" ht="27.75" customHeight="1" hidden="1">
      <c r="A29" s="194">
        <v>13030200</v>
      </c>
      <c r="B29" s="6" t="s">
        <v>345</v>
      </c>
      <c r="C29" s="195">
        <f t="shared" si="0"/>
        <v>0</v>
      </c>
      <c r="D29" s="195"/>
      <c r="E29" s="196"/>
      <c r="F29" s="196"/>
    </row>
    <row r="30" spans="1:6" ht="19.5" customHeight="1">
      <c r="A30" s="185">
        <v>14000000</v>
      </c>
      <c r="B30" s="222" t="s">
        <v>346</v>
      </c>
      <c r="C30" s="199">
        <f t="shared" si="0"/>
        <v>5000000</v>
      </c>
      <c r="D30" s="199">
        <f>D31+D33+D35</f>
        <v>5000000</v>
      </c>
      <c r="E30" s="196"/>
      <c r="F30" s="196"/>
    </row>
    <row r="31" spans="1:6" ht="36.75" customHeight="1">
      <c r="A31" s="193">
        <v>14020000</v>
      </c>
      <c r="B31" s="223" t="s">
        <v>347</v>
      </c>
      <c r="C31" s="195">
        <f t="shared" si="0"/>
        <v>300000</v>
      </c>
      <c r="D31" s="195">
        <f>D32</f>
        <v>300000</v>
      </c>
      <c r="E31" s="196"/>
      <c r="F31" s="196"/>
    </row>
    <row r="32" spans="1:6" ht="19.5" customHeight="1">
      <c r="A32" s="193">
        <v>14021900</v>
      </c>
      <c r="B32" s="223" t="s">
        <v>348</v>
      </c>
      <c r="C32" s="195">
        <f t="shared" si="0"/>
        <v>300000</v>
      </c>
      <c r="D32" s="195">
        <v>300000</v>
      </c>
      <c r="E32" s="196"/>
      <c r="F32" s="196"/>
    </row>
    <row r="33" spans="1:6" ht="35.25" customHeight="1">
      <c r="A33" s="193">
        <v>14030000</v>
      </c>
      <c r="B33" s="223" t="s">
        <v>349</v>
      </c>
      <c r="C33" s="195">
        <f t="shared" si="0"/>
        <v>1100000</v>
      </c>
      <c r="D33" s="195">
        <v>1100000</v>
      </c>
      <c r="E33" s="196"/>
      <c r="F33" s="196"/>
    </row>
    <row r="34" spans="1:6" ht="19.5" customHeight="1">
      <c r="A34" s="193">
        <v>14031900</v>
      </c>
      <c r="B34" s="223" t="s">
        <v>348</v>
      </c>
      <c r="C34" s="195">
        <f t="shared" si="0"/>
        <v>1100000</v>
      </c>
      <c r="D34" s="195">
        <v>1100000</v>
      </c>
      <c r="E34" s="196"/>
      <c r="F34" s="196"/>
    </row>
    <row r="35" spans="1:6" ht="53.25" customHeight="1">
      <c r="A35" s="224">
        <v>14040000</v>
      </c>
      <c r="B35" s="223" t="s">
        <v>350</v>
      </c>
      <c r="C35" s="195">
        <f>C36+C37</f>
        <v>3600000</v>
      </c>
      <c r="D35" s="195">
        <f>D36+D37</f>
        <v>3600000</v>
      </c>
      <c r="E35" s="196"/>
      <c r="F35" s="196"/>
    </row>
    <row r="36" spans="1:6" ht="113.25" customHeight="1">
      <c r="A36" s="224">
        <v>14040100</v>
      </c>
      <c r="B36" s="223" t="s">
        <v>351</v>
      </c>
      <c r="C36" s="195">
        <f>D36</f>
        <v>1300000</v>
      </c>
      <c r="D36" s="195">
        <v>1300000</v>
      </c>
      <c r="E36" s="196"/>
      <c r="F36" s="196"/>
    </row>
    <row r="37" spans="1:6" ht="87" customHeight="1">
      <c r="A37" s="224">
        <v>14040200</v>
      </c>
      <c r="B37" s="223" t="s">
        <v>352</v>
      </c>
      <c r="C37" s="195">
        <f>D37</f>
        <v>2300000</v>
      </c>
      <c r="D37" s="195">
        <v>2300000</v>
      </c>
      <c r="E37" s="196"/>
      <c r="F37" s="196"/>
    </row>
    <row r="38" spans="1:6" ht="64.5" customHeight="1">
      <c r="A38" s="197">
        <v>18000000</v>
      </c>
      <c r="B38" s="222" t="s">
        <v>353</v>
      </c>
      <c r="C38" s="199">
        <f t="shared" si="0"/>
        <v>46400000</v>
      </c>
      <c r="D38" s="199">
        <f>D39+D49+D51</f>
        <v>46400000</v>
      </c>
      <c r="E38" s="194"/>
      <c r="F38" s="196"/>
    </row>
    <row r="39" spans="1:6" ht="21" customHeight="1">
      <c r="A39" s="224">
        <v>18010000</v>
      </c>
      <c r="B39" s="223" t="s">
        <v>354</v>
      </c>
      <c r="C39" s="195">
        <f t="shared" si="0"/>
        <v>23399000</v>
      </c>
      <c r="D39" s="195">
        <f>D40+D41+D42+D43+D44+D45+D46+D47+D48</f>
        <v>23399000</v>
      </c>
      <c r="E39" s="196"/>
      <c r="F39" s="196"/>
    </row>
    <row r="40" spans="1:6" ht="73.5" customHeight="1">
      <c r="A40" s="194">
        <v>18010100</v>
      </c>
      <c r="B40" s="223" t="s">
        <v>355</v>
      </c>
      <c r="C40" s="195">
        <f t="shared" si="0"/>
        <v>13000</v>
      </c>
      <c r="D40" s="195">
        <v>13000</v>
      </c>
      <c r="E40" s="196"/>
      <c r="F40" s="196"/>
    </row>
    <row r="41" spans="1:6" ht="54" customHeight="1">
      <c r="A41" s="194">
        <v>18010200</v>
      </c>
      <c r="B41" s="223" t="s">
        <v>356</v>
      </c>
      <c r="C41" s="195">
        <f t="shared" si="0"/>
        <v>16000</v>
      </c>
      <c r="D41" s="195">
        <v>16000</v>
      </c>
      <c r="E41" s="196"/>
      <c r="F41" s="196"/>
    </row>
    <row r="42" spans="1:6" ht="69.75" customHeight="1">
      <c r="A42" s="194">
        <v>18010300</v>
      </c>
      <c r="B42" s="223" t="s">
        <v>357</v>
      </c>
      <c r="C42" s="195">
        <f t="shared" si="0"/>
        <v>20000</v>
      </c>
      <c r="D42" s="195">
        <v>20000</v>
      </c>
      <c r="E42" s="196"/>
      <c r="F42" s="196"/>
    </row>
    <row r="43" spans="1:6" ht="71.25" customHeight="1">
      <c r="A43" s="194">
        <v>18010400</v>
      </c>
      <c r="B43" s="223" t="s">
        <v>358</v>
      </c>
      <c r="C43" s="195">
        <f t="shared" si="0"/>
        <v>300000</v>
      </c>
      <c r="D43" s="195">
        <v>300000</v>
      </c>
      <c r="E43" s="196"/>
      <c r="F43" s="196"/>
    </row>
    <row r="44" spans="1:6" ht="21" customHeight="1">
      <c r="A44" s="224">
        <v>18010500</v>
      </c>
      <c r="B44" s="223" t="s">
        <v>359</v>
      </c>
      <c r="C44" s="195">
        <f t="shared" si="0"/>
        <v>3000000</v>
      </c>
      <c r="D44" s="195">
        <v>3000000</v>
      </c>
      <c r="E44" s="196"/>
      <c r="F44" s="196"/>
    </row>
    <row r="45" spans="1:6" ht="19.5" customHeight="1">
      <c r="A45" s="224">
        <v>18010600</v>
      </c>
      <c r="B45" s="223" t="s">
        <v>360</v>
      </c>
      <c r="C45" s="195">
        <f t="shared" si="0"/>
        <v>12000000</v>
      </c>
      <c r="D45" s="195">
        <v>12000000</v>
      </c>
      <c r="E45" s="196"/>
      <c r="F45" s="196"/>
    </row>
    <row r="46" spans="1:6" ht="18.75" customHeight="1">
      <c r="A46" s="224">
        <v>18010700</v>
      </c>
      <c r="B46" s="223" t="s">
        <v>361</v>
      </c>
      <c r="C46" s="195">
        <f t="shared" si="0"/>
        <v>2500000</v>
      </c>
      <c r="D46" s="195">
        <v>2500000</v>
      </c>
      <c r="E46" s="196"/>
      <c r="F46" s="196"/>
    </row>
    <row r="47" spans="1:6" ht="18.75" customHeight="1">
      <c r="A47" s="224">
        <v>18010900</v>
      </c>
      <c r="B47" s="223" t="s">
        <v>362</v>
      </c>
      <c r="C47" s="195">
        <f t="shared" si="0"/>
        <v>5500000</v>
      </c>
      <c r="D47" s="195">
        <v>5500000</v>
      </c>
      <c r="E47" s="196"/>
      <c r="F47" s="196"/>
    </row>
    <row r="48" spans="1:6" ht="18.75" customHeight="1">
      <c r="A48" s="224">
        <v>18011100</v>
      </c>
      <c r="B48" s="223" t="s">
        <v>363</v>
      </c>
      <c r="C48" s="195">
        <f t="shared" si="0"/>
        <v>50000</v>
      </c>
      <c r="D48" s="195">
        <v>50000</v>
      </c>
      <c r="E48" s="196"/>
      <c r="F48" s="196"/>
    </row>
    <row r="49" spans="1:6" ht="19.5" customHeight="1">
      <c r="A49" s="224">
        <v>18030000</v>
      </c>
      <c r="B49" s="223" t="s">
        <v>364</v>
      </c>
      <c r="C49" s="195">
        <f t="shared" si="0"/>
        <v>1000</v>
      </c>
      <c r="D49" s="195">
        <f>D50</f>
        <v>1000</v>
      </c>
      <c r="E49" s="196"/>
      <c r="F49" s="196"/>
    </row>
    <row r="50" spans="1:6" ht="31.5" customHeight="1">
      <c r="A50" s="224">
        <v>18030200</v>
      </c>
      <c r="B50" s="223" t="s">
        <v>365</v>
      </c>
      <c r="C50" s="195">
        <f t="shared" si="0"/>
        <v>1000</v>
      </c>
      <c r="D50" s="195">
        <v>1000</v>
      </c>
      <c r="E50" s="196"/>
      <c r="F50" s="196"/>
    </row>
    <row r="51" spans="1:6" ht="18.75">
      <c r="A51" s="224">
        <v>18050000</v>
      </c>
      <c r="B51" s="223" t="s">
        <v>366</v>
      </c>
      <c r="C51" s="195">
        <f t="shared" si="0"/>
        <v>23000000</v>
      </c>
      <c r="D51" s="195">
        <f>D52+D53+D54</f>
        <v>23000000</v>
      </c>
      <c r="E51" s="196"/>
      <c r="F51" s="196"/>
    </row>
    <row r="52" spans="1:6" ht="18.75">
      <c r="A52" s="224">
        <v>18050300</v>
      </c>
      <c r="B52" s="223" t="s">
        <v>367</v>
      </c>
      <c r="C52" s="195">
        <f t="shared" si="0"/>
        <v>900000</v>
      </c>
      <c r="D52" s="195">
        <v>900000</v>
      </c>
      <c r="E52" s="196"/>
      <c r="F52" s="196"/>
    </row>
    <row r="53" spans="1:6" ht="18.75">
      <c r="A53" s="224">
        <v>18050400</v>
      </c>
      <c r="B53" s="223" t="s">
        <v>368</v>
      </c>
      <c r="C53" s="195">
        <f t="shared" si="0"/>
        <v>7500000</v>
      </c>
      <c r="D53" s="195">
        <v>7500000</v>
      </c>
      <c r="E53" s="196"/>
      <c r="F53" s="196"/>
    </row>
    <row r="54" spans="1:6" ht="75">
      <c r="A54" s="224">
        <v>18050500</v>
      </c>
      <c r="B54" s="223" t="s">
        <v>369</v>
      </c>
      <c r="C54" s="195">
        <f t="shared" si="0"/>
        <v>14600000</v>
      </c>
      <c r="D54" s="195">
        <v>14600000</v>
      </c>
      <c r="E54" s="196"/>
      <c r="F54" s="196"/>
    </row>
    <row r="55" spans="1:6" ht="18.75" hidden="1">
      <c r="A55" s="194"/>
      <c r="B55" s="6"/>
      <c r="C55" s="195">
        <f t="shared" si="0"/>
        <v>0</v>
      </c>
      <c r="D55" s="195"/>
      <c r="E55" s="196"/>
      <c r="F55" s="196"/>
    </row>
    <row r="56" spans="1:6" ht="18.75">
      <c r="A56" s="197">
        <v>19000000</v>
      </c>
      <c r="B56" s="198" t="s">
        <v>370</v>
      </c>
      <c r="C56" s="199">
        <f t="shared" si="0"/>
        <v>60000</v>
      </c>
      <c r="D56" s="199"/>
      <c r="E56" s="200">
        <f>E57</f>
        <v>60000</v>
      </c>
      <c r="F56" s="196"/>
    </row>
    <row r="57" spans="1:6" ht="18.75">
      <c r="A57" s="194">
        <v>19010000</v>
      </c>
      <c r="B57" s="6" t="s">
        <v>371</v>
      </c>
      <c r="C57" s="195">
        <f t="shared" si="0"/>
        <v>60000</v>
      </c>
      <c r="D57" s="195"/>
      <c r="E57" s="196">
        <f>E58+E59+E60</f>
        <v>60000</v>
      </c>
      <c r="F57" s="196"/>
    </row>
    <row r="58" spans="1:6" ht="78.75" customHeight="1">
      <c r="A58" s="194">
        <v>19010100</v>
      </c>
      <c r="B58" s="6" t="s">
        <v>372</v>
      </c>
      <c r="C58" s="195">
        <f t="shared" si="0"/>
        <v>52000</v>
      </c>
      <c r="D58" s="195"/>
      <c r="E58" s="195">
        <v>52000</v>
      </c>
      <c r="F58" s="196"/>
    </row>
    <row r="59" spans="1:6" ht="39.75" customHeight="1">
      <c r="A59" s="194">
        <v>19010200</v>
      </c>
      <c r="B59" s="6" t="s">
        <v>373</v>
      </c>
      <c r="C59" s="195">
        <f t="shared" si="0"/>
        <v>1000</v>
      </c>
      <c r="D59" s="195"/>
      <c r="E59" s="195">
        <v>1000</v>
      </c>
      <c r="F59" s="196"/>
    </row>
    <row r="60" spans="1:6" ht="66.75" customHeight="1">
      <c r="A60" s="194">
        <v>19010300</v>
      </c>
      <c r="B60" s="6" t="s">
        <v>374</v>
      </c>
      <c r="C60" s="195">
        <f t="shared" si="0"/>
        <v>7000</v>
      </c>
      <c r="D60" s="195"/>
      <c r="E60" s="195">
        <v>7000</v>
      </c>
      <c r="F60" s="196"/>
    </row>
    <row r="61" spans="1:6" ht="20.25" customHeight="1">
      <c r="A61" s="197">
        <v>20000000</v>
      </c>
      <c r="B61" s="201" t="s">
        <v>375</v>
      </c>
      <c r="C61" s="199">
        <f t="shared" si="0"/>
        <v>3533400</v>
      </c>
      <c r="D61" s="202">
        <f>D62+D69+D82</f>
        <v>1500000</v>
      </c>
      <c r="E61" s="202">
        <f>E62+E69+E82+E86</f>
        <v>2033400</v>
      </c>
      <c r="F61" s="196"/>
    </row>
    <row r="62" spans="1:6" ht="28.5" customHeight="1">
      <c r="A62" s="194">
        <v>21000000</v>
      </c>
      <c r="B62" s="6" t="s">
        <v>376</v>
      </c>
      <c r="C62" s="195">
        <f t="shared" si="0"/>
        <v>30200</v>
      </c>
      <c r="D62" s="195">
        <f>D64+D65</f>
        <v>30200</v>
      </c>
      <c r="E62" s="196"/>
      <c r="F62" s="196"/>
    </row>
    <row r="63" spans="1:6" ht="125.25" customHeight="1">
      <c r="A63" s="194">
        <v>21010000</v>
      </c>
      <c r="B63" s="6" t="s">
        <v>377</v>
      </c>
      <c r="C63" s="195">
        <f t="shared" si="0"/>
        <v>200</v>
      </c>
      <c r="D63" s="195">
        <f>D64</f>
        <v>200</v>
      </c>
      <c r="E63" s="196"/>
      <c r="F63" s="196"/>
    </row>
    <row r="64" spans="1:6" ht="60" customHeight="1">
      <c r="A64" s="194">
        <v>21010300</v>
      </c>
      <c r="B64" s="6" t="s">
        <v>378</v>
      </c>
      <c r="C64" s="195">
        <f t="shared" si="0"/>
        <v>200</v>
      </c>
      <c r="D64" s="195">
        <v>200</v>
      </c>
      <c r="E64" s="183"/>
      <c r="F64" s="196"/>
    </row>
    <row r="65" spans="1:6" ht="21" customHeight="1">
      <c r="A65" s="194">
        <v>21080000</v>
      </c>
      <c r="B65" s="6" t="s">
        <v>379</v>
      </c>
      <c r="C65" s="195">
        <f t="shared" si="0"/>
        <v>30000</v>
      </c>
      <c r="D65" s="195">
        <f>D66+D67+D68</f>
        <v>30000</v>
      </c>
      <c r="E65" s="183"/>
      <c r="F65" s="196"/>
    </row>
    <row r="66" spans="1:6" ht="18.75" customHeight="1" hidden="1">
      <c r="A66" s="194">
        <v>21080500</v>
      </c>
      <c r="B66" s="6" t="s">
        <v>380</v>
      </c>
      <c r="C66" s="195">
        <f t="shared" si="0"/>
        <v>0</v>
      </c>
      <c r="D66" s="195"/>
      <c r="E66" s="183"/>
      <c r="F66" s="196"/>
    </row>
    <row r="67" spans="1:6" ht="17.25" customHeight="1">
      <c r="A67" s="194">
        <v>21081100</v>
      </c>
      <c r="B67" s="6" t="s">
        <v>381</v>
      </c>
      <c r="C67" s="195">
        <f t="shared" si="0"/>
        <v>20000</v>
      </c>
      <c r="D67" s="195">
        <v>20000</v>
      </c>
      <c r="E67" s="183"/>
      <c r="F67" s="196"/>
    </row>
    <row r="68" spans="1:6" ht="68.25" customHeight="1">
      <c r="A68" s="194">
        <v>21081500</v>
      </c>
      <c r="B68" s="6" t="s">
        <v>382</v>
      </c>
      <c r="C68" s="195">
        <f t="shared" si="0"/>
        <v>10000</v>
      </c>
      <c r="D68" s="195">
        <v>10000</v>
      </c>
      <c r="E68" s="183"/>
      <c r="F68" s="196"/>
    </row>
    <row r="69" spans="1:6" ht="37.5">
      <c r="A69" s="194">
        <v>22000000</v>
      </c>
      <c r="B69" s="6" t="s">
        <v>383</v>
      </c>
      <c r="C69" s="195">
        <f t="shared" si="0"/>
        <v>1459800</v>
      </c>
      <c r="D69" s="203">
        <f>D70+D77+D81</f>
        <v>1459800</v>
      </c>
      <c r="E69" s="196"/>
      <c r="F69" s="196"/>
    </row>
    <row r="70" spans="1:6" ht="18.75">
      <c r="A70" s="194">
        <v>22010000</v>
      </c>
      <c r="B70" s="6" t="s">
        <v>384</v>
      </c>
      <c r="C70" s="195">
        <f t="shared" si="0"/>
        <v>1389700</v>
      </c>
      <c r="D70" s="195">
        <f>D71+D72+D73+D74</f>
        <v>1389700</v>
      </c>
      <c r="E70" s="183"/>
      <c r="F70" s="196"/>
    </row>
    <row r="71" spans="1:6" ht="56.25">
      <c r="A71" s="194">
        <v>22010300</v>
      </c>
      <c r="B71" s="6" t="s">
        <v>385</v>
      </c>
      <c r="C71" s="195">
        <f t="shared" si="0"/>
        <v>9600</v>
      </c>
      <c r="D71" s="195">
        <v>9600</v>
      </c>
      <c r="E71" s="183"/>
      <c r="F71" s="196"/>
    </row>
    <row r="72" spans="1:6" ht="18.75">
      <c r="A72" s="194">
        <v>22012500</v>
      </c>
      <c r="B72" s="6" t="s">
        <v>386</v>
      </c>
      <c r="C72" s="195">
        <f t="shared" si="0"/>
        <v>880000</v>
      </c>
      <c r="D72" s="195">
        <v>880000</v>
      </c>
      <c r="E72" s="183"/>
      <c r="F72" s="196"/>
    </row>
    <row r="73" spans="1:6" ht="38.25" customHeight="1">
      <c r="A73" s="194">
        <v>22012600</v>
      </c>
      <c r="B73" s="6" t="s">
        <v>387</v>
      </c>
      <c r="C73" s="195">
        <f t="shared" si="0"/>
        <v>500000</v>
      </c>
      <c r="D73" s="195">
        <v>500000</v>
      </c>
      <c r="E73" s="183"/>
      <c r="F73" s="196"/>
    </row>
    <row r="74" spans="1:6" ht="120.75" customHeight="1">
      <c r="A74" s="194">
        <v>22012900</v>
      </c>
      <c r="B74" s="6" t="s">
        <v>388</v>
      </c>
      <c r="C74" s="195">
        <f t="shared" si="0"/>
        <v>100</v>
      </c>
      <c r="D74" s="195">
        <v>100</v>
      </c>
      <c r="E74" s="183"/>
      <c r="F74" s="196"/>
    </row>
    <row r="75" spans="1:6" ht="47.25" customHeight="1" hidden="1">
      <c r="A75" s="194">
        <v>22080000</v>
      </c>
      <c r="B75" s="6" t="s">
        <v>389</v>
      </c>
      <c r="C75" s="195">
        <f t="shared" si="0"/>
        <v>0</v>
      </c>
      <c r="D75" s="195"/>
      <c r="E75" s="183"/>
      <c r="F75" s="196"/>
    </row>
    <row r="76" spans="1:6" ht="57" customHeight="1" hidden="1">
      <c r="A76" s="194">
        <v>22080400</v>
      </c>
      <c r="B76" s="6" t="s">
        <v>390</v>
      </c>
      <c r="C76" s="195">
        <f t="shared" si="0"/>
        <v>0</v>
      </c>
      <c r="D76" s="195"/>
      <c r="E76" s="183"/>
      <c r="F76" s="196"/>
    </row>
    <row r="77" spans="1:6" ht="18.75">
      <c r="A77" s="194">
        <v>22090000</v>
      </c>
      <c r="B77" s="6" t="s">
        <v>391</v>
      </c>
      <c r="C77" s="195">
        <f t="shared" si="0"/>
        <v>60100</v>
      </c>
      <c r="D77" s="195">
        <f>D78+D79+D80</f>
        <v>60100</v>
      </c>
      <c r="E77" s="196"/>
      <c r="F77" s="196"/>
    </row>
    <row r="78" spans="1:6" ht="62.25" customHeight="1">
      <c r="A78" s="194">
        <v>22090100</v>
      </c>
      <c r="B78" s="6" t="s">
        <v>392</v>
      </c>
      <c r="C78" s="195">
        <f t="shared" si="0"/>
        <v>54000</v>
      </c>
      <c r="D78" s="195">
        <v>54000</v>
      </c>
      <c r="E78" s="183"/>
      <c r="F78" s="196"/>
    </row>
    <row r="79" spans="1:6" ht="24.75" customHeight="1">
      <c r="A79" s="194">
        <v>22090200</v>
      </c>
      <c r="B79" s="6" t="s">
        <v>393</v>
      </c>
      <c r="C79" s="195">
        <f t="shared" si="0"/>
        <v>100</v>
      </c>
      <c r="D79" s="195">
        <v>100</v>
      </c>
      <c r="E79" s="183"/>
      <c r="F79" s="196"/>
    </row>
    <row r="80" spans="1:6" ht="55.5" customHeight="1">
      <c r="A80" s="194">
        <v>22090400</v>
      </c>
      <c r="B80" s="6" t="s">
        <v>394</v>
      </c>
      <c r="C80" s="195">
        <f t="shared" si="0"/>
        <v>6000</v>
      </c>
      <c r="D80" s="195">
        <v>6000</v>
      </c>
      <c r="E80" s="183"/>
      <c r="F80" s="196"/>
    </row>
    <row r="81" spans="1:6" ht="99.75" customHeight="1">
      <c r="A81" s="194">
        <v>22130000</v>
      </c>
      <c r="B81" s="6" t="s">
        <v>395</v>
      </c>
      <c r="C81" s="195">
        <f t="shared" si="0"/>
        <v>10000</v>
      </c>
      <c r="D81" s="195">
        <v>10000</v>
      </c>
      <c r="E81" s="196"/>
      <c r="F81" s="196"/>
    </row>
    <row r="82" spans="1:6" ht="23.25" customHeight="1">
      <c r="A82" s="194">
        <v>24000000</v>
      </c>
      <c r="B82" s="6" t="s">
        <v>396</v>
      </c>
      <c r="C82" s="195">
        <f aca="true" t="shared" si="1" ref="C82:C101">D82+E82</f>
        <v>10000</v>
      </c>
      <c r="D82" s="203">
        <f>D83</f>
        <v>10000</v>
      </c>
      <c r="E82" s="196"/>
      <c r="F82" s="196"/>
    </row>
    <row r="83" spans="1:6" ht="18.75">
      <c r="A83" s="194">
        <v>24060000</v>
      </c>
      <c r="B83" s="6" t="s">
        <v>379</v>
      </c>
      <c r="C83" s="195">
        <f t="shared" si="1"/>
        <v>10000</v>
      </c>
      <c r="D83" s="203">
        <f>D84</f>
        <v>10000</v>
      </c>
      <c r="E83" s="196"/>
      <c r="F83" s="196"/>
    </row>
    <row r="84" spans="1:6" ht="18.75">
      <c r="A84" s="194">
        <v>24060300</v>
      </c>
      <c r="B84" s="6" t="s">
        <v>379</v>
      </c>
      <c r="C84" s="195">
        <f t="shared" si="1"/>
        <v>10000</v>
      </c>
      <c r="D84" s="203">
        <v>10000</v>
      </c>
      <c r="E84" s="196"/>
      <c r="F84" s="196"/>
    </row>
    <row r="85" spans="1:6" ht="172.5" customHeight="1" hidden="1">
      <c r="A85" s="194">
        <v>24062200</v>
      </c>
      <c r="B85" s="6" t="s">
        <v>397</v>
      </c>
      <c r="C85" s="195">
        <f t="shared" si="1"/>
        <v>0</v>
      </c>
      <c r="D85" s="195"/>
      <c r="E85" s="196"/>
      <c r="F85" s="196"/>
    </row>
    <row r="86" spans="1:6" ht="18.75" customHeight="1">
      <c r="A86" s="194">
        <v>25000000</v>
      </c>
      <c r="B86" s="6" t="s">
        <v>398</v>
      </c>
      <c r="C86" s="225">
        <f t="shared" si="1"/>
        <v>2033400</v>
      </c>
      <c r="D86" s="225"/>
      <c r="E86" s="225">
        <f>E87</f>
        <v>2033400</v>
      </c>
      <c r="F86" s="196"/>
    </row>
    <row r="87" spans="1:6" ht="42.75" customHeight="1">
      <c r="A87" s="194">
        <v>25010000</v>
      </c>
      <c r="B87" s="6" t="s">
        <v>399</v>
      </c>
      <c r="C87" s="225">
        <f t="shared" si="1"/>
        <v>2033400</v>
      </c>
      <c r="D87" s="225"/>
      <c r="E87" s="225">
        <f>E88+E89</f>
        <v>2033400</v>
      </c>
      <c r="F87" s="196"/>
    </row>
    <row r="88" spans="1:6" ht="39" customHeight="1">
      <c r="A88" s="194">
        <v>25010100</v>
      </c>
      <c r="B88" s="6" t="s">
        <v>400</v>
      </c>
      <c r="C88" s="225">
        <f t="shared" si="1"/>
        <v>1958100</v>
      </c>
      <c r="D88" s="225"/>
      <c r="E88" s="225">
        <v>1958100</v>
      </c>
      <c r="F88" s="196"/>
    </row>
    <row r="89" spans="1:6" ht="59.25" customHeight="1">
      <c r="A89" s="194">
        <v>25010300</v>
      </c>
      <c r="B89" s="6" t="s">
        <v>401</v>
      </c>
      <c r="C89" s="225">
        <f t="shared" si="1"/>
        <v>75300</v>
      </c>
      <c r="D89" s="225"/>
      <c r="E89" s="225">
        <v>75300</v>
      </c>
      <c r="F89" s="196"/>
    </row>
    <row r="90" spans="1:7" ht="39.75" customHeight="1">
      <c r="A90" s="197"/>
      <c r="B90" s="198" t="s">
        <v>402</v>
      </c>
      <c r="C90" s="202">
        <f>D90+E90</f>
        <v>179452050</v>
      </c>
      <c r="D90" s="202">
        <f>D61+D13</f>
        <v>177358650</v>
      </c>
      <c r="E90" s="202">
        <f>E61+E13</f>
        <v>2093400</v>
      </c>
      <c r="F90" s="195"/>
      <c r="G90" s="49"/>
    </row>
    <row r="91" spans="1:6" ht="18.75">
      <c r="A91" s="220">
        <v>40000000</v>
      </c>
      <c r="B91" s="198" t="s">
        <v>403</v>
      </c>
      <c r="C91" s="199">
        <f t="shared" si="1"/>
        <v>78964546</v>
      </c>
      <c r="D91" s="202">
        <f>D92+D97</f>
        <v>78964546</v>
      </c>
      <c r="E91" s="200"/>
      <c r="F91" s="196"/>
    </row>
    <row r="92" spans="1:6" ht="18.75">
      <c r="A92" s="204">
        <v>41000000</v>
      </c>
      <c r="B92" s="6" t="s">
        <v>404</v>
      </c>
      <c r="C92" s="195">
        <f t="shared" si="1"/>
        <v>77342318</v>
      </c>
      <c r="D92" s="203">
        <f>D93+D95</f>
        <v>77342318</v>
      </c>
      <c r="E92" s="196"/>
      <c r="F92" s="196"/>
    </row>
    <row r="93" spans="1:6" ht="18.75">
      <c r="A93" s="204">
        <v>41030000</v>
      </c>
      <c r="B93" s="6" t="s">
        <v>405</v>
      </c>
      <c r="C93" s="195">
        <f t="shared" si="1"/>
        <v>77154700</v>
      </c>
      <c r="D93" s="195">
        <f>D94</f>
        <v>77154700</v>
      </c>
      <c r="E93" s="196"/>
      <c r="F93" s="196"/>
    </row>
    <row r="94" spans="1:6" ht="37.5">
      <c r="A94" s="194">
        <v>41033900</v>
      </c>
      <c r="B94" s="6" t="s">
        <v>406</v>
      </c>
      <c r="C94" s="195">
        <f t="shared" si="1"/>
        <v>77154700</v>
      </c>
      <c r="D94" s="226">
        <v>77154700</v>
      </c>
      <c r="E94" s="196"/>
      <c r="F94" s="196"/>
    </row>
    <row r="95" spans="1:6" ht="28.5" customHeight="1">
      <c r="A95" s="204">
        <v>41040000</v>
      </c>
      <c r="B95" s="6" t="s">
        <v>407</v>
      </c>
      <c r="C95" s="195">
        <f t="shared" si="1"/>
        <v>187618</v>
      </c>
      <c r="D95" s="195">
        <f>D96</f>
        <v>187618</v>
      </c>
      <c r="E95" s="196"/>
      <c r="F95" s="196"/>
    </row>
    <row r="96" spans="1:6" ht="31.5" customHeight="1">
      <c r="A96" s="204">
        <v>41040400</v>
      </c>
      <c r="B96" s="6" t="s">
        <v>451</v>
      </c>
      <c r="C96" s="195">
        <f t="shared" si="1"/>
        <v>187618</v>
      </c>
      <c r="D96" s="195">
        <v>187618</v>
      </c>
      <c r="E96" s="196"/>
      <c r="F96" s="196"/>
    </row>
    <row r="97" spans="1:6" ht="37.5" customHeight="1">
      <c r="A97" s="204">
        <v>41050000</v>
      </c>
      <c r="B97" s="6" t="s">
        <v>408</v>
      </c>
      <c r="C97" s="195">
        <f t="shared" si="1"/>
        <v>1622228</v>
      </c>
      <c r="D97" s="203">
        <f>D98+D99+D100</f>
        <v>1622228</v>
      </c>
      <c r="E97" s="196"/>
      <c r="F97" s="196"/>
    </row>
    <row r="98" spans="1:6" ht="57.75" customHeight="1">
      <c r="A98" s="204">
        <v>41051000</v>
      </c>
      <c r="B98" s="6" t="s">
        <v>108</v>
      </c>
      <c r="C98" s="195">
        <f t="shared" si="1"/>
        <v>1089700</v>
      </c>
      <c r="D98" s="195">
        <v>1089700</v>
      </c>
      <c r="E98" s="196"/>
      <c r="F98" s="196"/>
    </row>
    <row r="99" spans="1:6" ht="78" customHeight="1">
      <c r="A99" s="204">
        <v>41051200</v>
      </c>
      <c r="B99" s="6" t="s">
        <v>109</v>
      </c>
      <c r="C99" s="195">
        <f t="shared" si="1"/>
        <v>270400</v>
      </c>
      <c r="D99" s="195">
        <v>270400</v>
      </c>
      <c r="E99" s="196"/>
      <c r="F99" s="196"/>
    </row>
    <row r="100" spans="1:6" ht="87" customHeight="1">
      <c r="A100" s="193">
        <v>41051700</v>
      </c>
      <c r="B100" s="227" t="s">
        <v>283</v>
      </c>
      <c r="C100" s="195">
        <f t="shared" si="1"/>
        <v>262128</v>
      </c>
      <c r="D100" s="205">
        <f>153700+108428</f>
        <v>262128</v>
      </c>
      <c r="E100" s="196"/>
      <c r="F100" s="196"/>
    </row>
    <row r="101" spans="1:7" ht="29.25" customHeight="1">
      <c r="A101" s="220" t="s">
        <v>409</v>
      </c>
      <c r="B101" s="200" t="s">
        <v>410</v>
      </c>
      <c r="C101" s="199">
        <f t="shared" si="1"/>
        <v>258416596</v>
      </c>
      <c r="D101" s="202">
        <f>D91+D90</f>
        <v>256323196</v>
      </c>
      <c r="E101" s="202">
        <f>E91+E90</f>
        <v>2093400</v>
      </c>
      <c r="F101" s="200"/>
      <c r="G101" s="49"/>
    </row>
    <row r="102" ht="18.75">
      <c r="A102" s="184"/>
    </row>
    <row r="103" spans="1:5" ht="18.75">
      <c r="A103" s="184"/>
      <c r="B103" s="67" t="s">
        <v>256</v>
      </c>
      <c r="C103" s="68" t="s">
        <v>196</v>
      </c>
      <c r="D103" s="67"/>
      <c r="E103" s="228"/>
    </row>
    <row r="104" spans="1:4" ht="18.75">
      <c r="A104" s="184"/>
      <c r="B104" s="67"/>
      <c r="C104" s="67"/>
      <c r="D104" s="67"/>
    </row>
  </sheetData>
  <mergeCells count="9">
    <mergeCell ref="E10:F10"/>
    <mergeCell ref="A10:A11"/>
    <mergeCell ref="B10:B11"/>
    <mergeCell ref="C10:C11"/>
    <mergeCell ref="D10:D11"/>
    <mergeCell ref="C1:F1"/>
    <mergeCell ref="C2:F2"/>
    <mergeCell ref="A3:F3"/>
    <mergeCell ref="A4:F4"/>
  </mergeCells>
  <printOptions/>
  <pageMargins left="0.75" right="0.21" top="0.33" bottom="0.21" header="0.5" footer="0.5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8"/>
  <sheetViews>
    <sheetView zoomScalePageLayoutView="0" workbookViewId="0" topLeftCell="I104">
      <selection activeCell="A106" sqref="A1:IV16384"/>
    </sheetView>
  </sheetViews>
  <sheetFormatPr defaultColWidth="9.00390625" defaultRowHeight="12.75"/>
  <cols>
    <col min="1" max="1" width="15.75390625" style="40" customWidth="1"/>
    <col min="2" max="2" width="12.125" style="40" customWidth="1"/>
    <col min="3" max="3" width="10.75390625" style="40" customWidth="1"/>
    <col min="4" max="4" width="61.625" style="40" customWidth="1"/>
    <col min="5" max="5" width="18.375" style="40" customWidth="1"/>
    <col min="6" max="6" width="19.125" style="40" customWidth="1"/>
    <col min="7" max="7" width="17.375" style="40" customWidth="1"/>
    <col min="8" max="8" width="16.125" style="40" customWidth="1"/>
    <col min="9" max="9" width="15.00390625" style="40" customWidth="1"/>
    <col min="10" max="10" width="17.00390625" style="40" customWidth="1"/>
    <col min="11" max="11" width="16.875" style="40" customWidth="1"/>
    <col min="12" max="12" width="18.00390625" style="40" customWidth="1"/>
    <col min="13" max="13" width="16.25390625" style="40" customWidth="1"/>
    <col min="14" max="14" width="12.00390625" style="40" customWidth="1"/>
    <col min="15" max="15" width="15.625" style="40" customWidth="1"/>
    <col min="16" max="16" width="16.625" style="40" customWidth="1"/>
    <col min="17" max="17" width="18.25390625" style="40" customWidth="1"/>
    <col min="18" max="18" width="12.875" style="40" bestFit="1" customWidth="1"/>
    <col min="19" max="16384" width="9.125" style="40" customWidth="1"/>
  </cols>
  <sheetData>
    <row r="2" spans="14:17" ht="92.25" customHeight="1">
      <c r="N2" s="287" t="s">
        <v>438</v>
      </c>
      <c r="O2" s="287"/>
      <c r="P2" s="287"/>
      <c r="Q2" s="287"/>
    </row>
    <row r="3" spans="15:17" ht="75" customHeight="1" hidden="1">
      <c r="O3" s="39"/>
      <c r="P3" s="39"/>
      <c r="Q3" s="39"/>
    </row>
    <row r="4" spans="15:17" ht="15.75" customHeight="1">
      <c r="O4" s="39"/>
      <c r="P4" s="39"/>
      <c r="Q4" s="39"/>
    </row>
    <row r="5" spans="1:17" ht="18.75">
      <c r="A5" s="270" t="s">
        <v>28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8.75">
      <c r="A6" s="270" t="s">
        <v>313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ht="18.75" hidden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8.75">
      <c r="A8" s="53">
        <v>11542000000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8.75">
      <c r="A9" s="96" t="s">
        <v>104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hidden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8.75">
      <c r="A12" s="42"/>
      <c r="B12" s="42"/>
      <c r="C12" s="43"/>
      <c r="D12" s="42"/>
      <c r="E12" s="186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97" t="s">
        <v>120</v>
      </c>
    </row>
    <row r="13" spans="1:17" ht="76.5" customHeight="1">
      <c r="A13" s="268" t="s">
        <v>110</v>
      </c>
      <c r="B13" s="268" t="s">
        <v>322</v>
      </c>
      <c r="C13" s="267" t="s">
        <v>23</v>
      </c>
      <c r="D13" s="268" t="s">
        <v>111</v>
      </c>
      <c r="E13" s="267" t="s">
        <v>19</v>
      </c>
      <c r="F13" s="267"/>
      <c r="G13" s="267"/>
      <c r="H13" s="267"/>
      <c r="I13" s="267"/>
      <c r="J13" s="267" t="s">
        <v>20</v>
      </c>
      <c r="K13" s="267"/>
      <c r="L13" s="267"/>
      <c r="M13" s="267"/>
      <c r="N13" s="267"/>
      <c r="O13" s="267"/>
      <c r="P13" s="267"/>
      <c r="Q13" s="283" t="s">
        <v>24</v>
      </c>
    </row>
    <row r="14" spans="1:17" ht="18.75">
      <c r="A14" s="271"/>
      <c r="B14" s="271"/>
      <c r="C14" s="267"/>
      <c r="D14" s="271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83"/>
    </row>
    <row r="15" spans="1:17" ht="18.75" customHeight="1">
      <c r="A15" s="271"/>
      <c r="B15" s="271"/>
      <c r="C15" s="267"/>
      <c r="D15" s="271"/>
      <c r="E15" s="267" t="s">
        <v>21</v>
      </c>
      <c r="F15" s="267" t="s">
        <v>25</v>
      </c>
      <c r="G15" s="267" t="s">
        <v>26</v>
      </c>
      <c r="H15" s="267"/>
      <c r="I15" s="267" t="s">
        <v>27</v>
      </c>
      <c r="J15" s="267" t="s">
        <v>21</v>
      </c>
      <c r="K15" s="267" t="s">
        <v>22</v>
      </c>
      <c r="L15" s="268" t="s">
        <v>103</v>
      </c>
      <c r="M15" s="267" t="s">
        <v>25</v>
      </c>
      <c r="N15" s="267" t="s">
        <v>26</v>
      </c>
      <c r="O15" s="267"/>
      <c r="P15" s="267" t="s">
        <v>27</v>
      </c>
      <c r="Q15" s="283"/>
    </row>
    <row r="16" spans="1:17" ht="184.5" customHeight="1">
      <c r="A16" s="269"/>
      <c r="B16" s="269"/>
      <c r="C16" s="267"/>
      <c r="D16" s="269"/>
      <c r="E16" s="267"/>
      <c r="F16" s="267"/>
      <c r="G16" s="38" t="s">
        <v>105</v>
      </c>
      <c r="H16" s="38" t="s">
        <v>106</v>
      </c>
      <c r="I16" s="267"/>
      <c r="J16" s="267"/>
      <c r="K16" s="267"/>
      <c r="L16" s="269"/>
      <c r="M16" s="267"/>
      <c r="N16" s="38" t="s">
        <v>105</v>
      </c>
      <c r="O16" s="38" t="s">
        <v>106</v>
      </c>
      <c r="P16" s="267"/>
      <c r="Q16" s="283"/>
    </row>
    <row r="17" spans="1:17" ht="18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</row>
    <row r="18" spans="1:17" ht="18.75">
      <c r="A18" s="44" t="s">
        <v>29</v>
      </c>
      <c r="B18" s="44"/>
      <c r="C18" s="45"/>
      <c r="D18" s="37" t="s">
        <v>189</v>
      </c>
      <c r="E18" s="46">
        <f>E19</f>
        <v>45307100</v>
      </c>
      <c r="F18" s="46">
        <f aca="true" t="shared" si="0" ref="F18:P18">F19</f>
        <v>45307100</v>
      </c>
      <c r="G18" s="46">
        <f t="shared" si="0"/>
        <v>19132030</v>
      </c>
      <c r="H18" s="46">
        <f t="shared" si="0"/>
        <v>917630</v>
      </c>
      <c r="I18" s="46">
        <f t="shared" si="0"/>
        <v>0</v>
      </c>
      <c r="J18" s="46">
        <f t="shared" si="0"/>
        <v>2253164.29</v>
      </c>
      <c r="K18" s="46">
        <f t="shared" si="0"/>
        <v>2227600</v>
      </c>
      <c r="L18" s="46">
        <f t="shared" si="0"/>
        <v>1949900</v>
      </c>
      <c r="M18" s="46">
        <f t="shared" si="0"/>
        <v>25564.29</v>
      </c>
      <c r="N18" s="46">
        <f t="shared" si="0"/>
        <v>0</v>
      </c>
      <c r="O18" s="46">
        <f t="shared" si="0"/>
        <v>0</v>
      </c>
      <c r="P18" s="46">
        <f t="shared" si="0"/>
        <v>2227600</v>
      </c>
      <c r="Q18" s="46">
        <f aca="true" t="shared" si="1" ref="Q18:Q73">E18+J18</f>
        <v>47560264.29</v>
      </c>
    </row>
    <row r="19" spans="1:17" ht="18.75">
      <c r="A19" s="4" t="s">
        <v>30</v>
      </c>
      <c r="B19" s="4"/>
      <c r="C19" s="98"/>
      <c r="D19" s="37" t="s">
        <v>189</v>
      </c>
      <c r="E19" s="46">
        <f>E20+E22+E23+E25+E28+E29+E31+E32+E33+E34+E35+E30</f>
        <v>45307100</v>
      </c>
      <c r="F19" s="46">
        <f>F20+F22+F23+F25+F28+F29+F31+F32+F33+F34+F35+F30</f>
        <v>45307100</v>
      </c>
      <c r="G19" s="46">
        <f aca="true" t="shared" si="2" ref="G19:P19">G20+G22+G23+G25+G28+G29+G31+G32+G33+G34+G35</f>
        <v>19132030</v>
      </c>
      <c r="H19" s="46">
        <f t="shared" si="2"/>
        <v>917630</v>
      </c>
      <c r="I19" s="46">
        <f t="shared" si="2"/>
        <v>0</v>
      </c>
      <c r="J19" s="46">
        <f t="shared" si="2"/>
        <v>2253164.29</v>
      </c>
      <c r="K19" s="46">
        <f>K20+K22+K23+K25+K28+K29+K31+K32+K33+K34+K35</f>
        <v>2227600</v>
      </c>
      <c r="L19" s="46">
        <f t="shared" si="2"/>
        <v>1949900</v>
      </c>
      <c r="M19" s="46">
        <f t="shared" si="2"/>
        <v>25564.29</v>
      </c>
      <c r="N19" s="46">
        <f t="shared" si="2"/>
        <v>0</v>
      </c>
      <c r="O19" s="46">
        <f t="shared" si="2"/>
        <v>0</v>
      </c>
      <c r="P19" s="46">
        <f t="shared" si="2"/>
        <v>2227600</v>
      </c>
      <c r="Q19" s="46">
        <f t="shared" si="1"/>
        <v>47560264.29</v>
      </c>
    </row>
    <row r="20" spans="1:17" ht="63">
      <c r="A20" s="4" t="s">
        <v>31</v>
      </c>
      <c r="B20" s="28" t="s">
        <v>32</v>
      </c>
      <c r="C20" s="28" t="s">
        <v>33</v>
      </c>
      <c r="D20" s="36" t="s">
        <v>34</v>
      </c>
      <c r="E20" s="46">
        <f>24616430+77500+50000</f>
        <v>24743930</v>
      </c>
      <c r="F20" s="46">
        <f>24616430+77500+50000</f>
        <v>24743930</v>
      </c>
      <c r="G20" s="46">
        <f>18573000</f>
        <v>18573000</v>
      </c>
      <c r="H20" s="46">
        <v>905630</v>
      </c>
      <c r="I20" s="31"/>
      <c r="J20" s="31"/>
      <c r="K20" s="31"/>
      <c r="L20" s="31"/>
      <c r="M20" s="31"/>
      <c r="N20" s="31"/>
      <c r="O20" s="31"/>
      <c r="P20" s="31"/>
      <c r="Q20" s="46">
        <f t="shared" si="1"/>
        <v>24743930</v>
      </c>
    </row>
    <row r="21" spans="1:17" ht="18.75" hidden="1">
      <c r="A21" s="4"/>
      <c r="B21" s="28"/>
      <c r="C21" s="28"/>
      <c r="D21" s="36"/>
      <c r="E21" s="46"/>
      <c r="F21" s="46"/>
      <c r="G21" s="46"/>
      <c r="H21" s="46"/>
      <c r="I21" s="31"/>
      <c r="J21" s="31"/>
      <c r="K21" s="31"/>
      <c r="L21" s="31"/>
      <c r="M21" s="31"/>
      <c r="N21" s="31"/>
      <c r="O21" s="31"/>
      <c r="P21" s="31"/>
      <c r="Q21" s="46">
        <f t="shared" si="1"/>
        <v>0</v>
      </c>
    </row>
    <row r="22" spans="1:17" ht="18.75">
      <c r="A22" s="4" t="s">
        <v>35</v>
      </c>
      <c r="B22" s="28" t="s">
        <v>36</v>
      </c>
      <c r="C22" s="28" t="s">
        <v>37</v>
      </c>
      <c r="D22" s="36" t="s">
        <v>38</v>
      </c>
      <c r="E22" s="31">
        <v>187600</v>
      </c>
      <c r="F22" s="31">
        <v>187600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6">
        <f t="shared" si="1"/>
        <v>187600</v>
      </c>
    </row>
    <row r="23" spans="1:17" ht="18.75">
      <c r="A23" s="4" t="s">
        <v>126</v>
      </c>
      <c r="B23" s="29">
        <v>2010</v>
      </c>
      <c r="C23" s="28" t="s">
        <v>39</v>
      </c>
      <c r="D23" s="36" t="s">
        <v>40</v>
      </c>
      <c r="E23" s="31">
        <f>8444700+95000+600000+150000+24000+90000+1000000+102000+90000+198000+70000+(-90000)+25000+100000</f>
        <v>10898700</v>
      </c>
      <c r="F23" s="31">
        <f>8444700+95000+600000+150000+24000+90000+1000000+102000+90000+198000+70000+(-90000)+25000+100000</f>
        <v>10898700</v>
      </c>
      <c r="G23" s="31"/>
      <c r="H23" s="31"/>
      <c r="I23" s="31"/>
      <c r="J23" s="31">
        <f>200000+380000+277700+100000+90000</f>
        <v>1047700</v>
      </c>
      <c r="K23" s="31">
        <f>200000+380000+277700+100000+90000</f>
        <v>1047700</v>
      </c>
      <c r="L23" s="31">
        <f>200000+380000+100000+90000</f>
        <v>770000</v>
      </c>
      <c r="M23" s="31"/>
      <c r="N23" s="31"/>
      <c r="O23" s="31"/>
      <c r="P23" s="31">
        <f>200000+380000+277700+100000+90000</f>
        <v>1047700</v>
      </c>
      <c r="Q23" s="46">
        <f t="shared" si="1"/>
        <v>11946400</v>
      </c>
    </row>
    <row r="24" spans="1:17" ht="97.5" customHeight="1" hidden="1">
      <c r="A24" s="4"/>
      <c r="B24" s="29"/>
      <c r="C24" s="28"/>
      <c r="D24" s="9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6">
        <f t="shared" si="1"/>
        <v>0</v>
      </c>
    </row>
    <row r="25" spans="1:17" ht="47.25">
      <c r="A25" s="4" t="s">
        <v>125</v>
      </c>
      <c r="B25" s="4" t="s">
        <v>41</v>
      </c>
      <c r="C25" s="28" t="s">
        <v>42</v>
      </c>
      <c r="D25" s="36" t="s">
        <v>43</v>
      </c>
      <c r="E25" s="31">
        <f>2212000+1000000+80000+900000</f>
        <v>4192000</v>
      </c>
      <c r="F25" s="31">
        <f>2212000+1000000+80000+900000</f>
        <v>4192000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6">
        <f t="shared" si="1"/>
        <v>4192000</v>
      </c>
    </row>
    <row r="26" spans="1:17" ht="18.75" hidden="1">
      <c r="A26" s="4"/>
      <c r="B26" s="4"/>
      <c r="C26" s="28"/>
      <c r="D26" s="9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6">
        <f t="shared" si="1"/>
        <v>0</v>
      </c>
    </row>
    <row r="27" spans="1:17" ht="104.25" customHeight="1" hidden="1">
      <c r="A27" s="4"/>
      <c r="B27" s="4"/>
      <c r="C27" s="28"/>
      <c r="D27" s="9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6">
        <f t="shared" si="1"/>
        <v>0</v>
      </c>
    </row>
    <row r="28" spans="1:17" ht="31.5">
      <c r="A28" s="4" t="s">
        <v>128</v>
      </c>
      <c r="B28" s="3">
        <v>3242</v>
      </c>
      <c r="C28" s="3">
        <v>1090</v>
      </c>
      <c r="D28" s="36" t="s">
        <v>49</v>
      </c>
      <c r="E28" s="31">
        <f>62400+52800</f>
        <v>115200</v>
      </c>
      <c r="F28" s="31">
        <f>62400+52800</f>
        <v>115200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6">
        <f t="shared" si="1"/>
        <v>115200</v>
      </c>
    </row>
    <row r="29" spans="1:17" ht="18.75">
      <c r="A29" s="4" t="s">
        <v>132</v>
      </c>
      <c r="B29" s="3">
        <v>7130</v>
      </c>
      <c r="C29" s="4" t="s">
        <v>133</v>
      </c>
      <c r="D29" s="100" t="s">
        <v>131</v>
      </c>
      <c r="E29" s="31">
        <f>50000+350000</f>
        <v>400000</v>
      </c>
      <c r="F29" s="31">
        <f>50000+350000</f>
        <v>400000</v>
      </c>
      <c r="G29" s="31"/>
      <c r="H29" s="31"/>
      <c r="I29" s="31"/>
      <c r="J29" s="31">
        <v>25564.29</v>
      </c>
      <c r="K29" s="31"/>
      <c r="L29" s="31"/>
      <c r="M29" s="31">
        <v>25564.29</v>
      </c>
      <c r="N29" s="31"/>
      <c r="O29" s="31"/>
      <c r="P29" s="31"/>
      <c r="Q29" s="46">
        <f t="shared" si="1"/>
        <v>425564.29</v>
      </c>
    </row>
    <row r="30" spans="1:17" ht="31.5">
      <c r="A30" s="4" t="s">
        <v>315</v>
      </c>
      <c r="B30" s="3">
        <v>7680</v>
      </c>
      <c r="C30" s="4" t="s">
        <v>289</v>
      </c>
      <c r="D30" s="100" t="s">
        <v>316</v>
      </c>
      <c r="E30" s="31">
        <v>38000</v>
      </c>
      <c r="F30" s="31">
        <v>38000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6">
        <f t="shared" si="1"/>
        <v>38000</v>
      </c>
    </row>
    <row r="31" spans="1:17" ht="31.5">
      <c r="A31" s="4" t="s">
        <v>129</v>
      </c>
      <c r="B31" s="3">
        <v>8110</v>
      </c>
      <c r="C31" s="4" t="s">
        <v>50</v>
      </c>
      <c r="D31" s="36" t="s">
        <v>51</v>
      </c>
      <c r="E31" s="31">
        <f>250000+36000+(-50000)+100000</f>
        <v>336000</v>
      </c>
      <c r="F31" s="31">
        <f>250000+36000+(-50000)+100000</f>
        <v>336000</v>
      </c>
      <c r="G31" s="31"/>
      <c r="H31" s="31"/>
      <c r="I31" s="31"/>
      <c r="J31" s="31">
        <f>40000</f>
        <v>40000</v>
      </c>
      <c r="K31" s="31">
        <f>40000</f>
        <v>40000</v>
      </c>
      <c r="L31" s="31">
        <f>40000</f>
        <v>40000</v>
      </c>
      <c r="M31" s="31"/>
      <c r="N31" s="31"/>
      <c r="O31" s="31"/>
      <c r="P31" s="31">
        <f>40000</f>
        <v>40000</v>
      </c>
      <c r="Q31" s="46">
        <f t="shared" si="1"/>
        <v>376000</v>
      </c>
    </row>
    <row r="32" spans="1:17" ht="31.5">
      <c r="A32" s="4" t="s">
        <v>130</v>
      </c>
      <c r="B32" s="4" t="s">
        <v>52</v>
      </c>
      <c r="C32" s="28" t="s">
        <v>50</v>
      </c>
      <c r="D32" s="36" t="s">
        <v>234</v>
      </c>
      <c r="E32" s="31">
        <f>751500+17300+7000</f>
        <v>775800</v>
      </c>
      <c r="F32" s="31">
        <f>751500+17300+7000</f>
        <v>775800</v>
      </c>
      <c r="G32" s="31">
        <v>559030</v>
      </c>
      <c r="H32" s="31">
        <v>12000</v>
      </c>
      <c r="I32" s="31"/>
      <c r="J32" s="31"/>
      <c r="K32" s="31"/>
      <c r="L32" s="31"/>
      <c r="M32" s="31"/>
      <c r="N32" s="31"/>
      <c r="O32" s="31"/>
      <c r="P32" s="31"/>
      <c r="Q32" s="46">
        <f t="shared" si="1"/>
        <v>775800</v>
      </c>
    </row>
    <row r="33" spans="1:17" ht="31.5">
      <c r="A33" s="4" t="s">
        <v>199</v>
      </c>
      <c r="B33" s="3">
        <v>8220</v>
      </c>
      <c r="C33" s="4" t="s">
        <v>200</v>
      </c>
      <c r="D33" s="190" t="s">
        <v>201</v>
      </c>
      <c r="E33" s="31">
        <f>49000+500000</f>
        <v>549000</v>
      </c>
      <c r="F33" s="31">
        <f>49000+500000</f>
        <v>549000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6">
        <f t="shared" si="1"/>
        <v>549000</v>
      </c>
    </row>
    <row r="34" spans="1:17" ht="18.75">
      <c r="A34" s="4" t="s">
        <v>237</v>
      </c>
      <c r="B34" s="4" t="s">
        <v>238</v>
      </c>
      <c r="C34" s="28" t="s">
        <v>200</v>
      </c>
      <c r="D34" s="36" t="s">
        <v>239</v>
      </c>
      <c r="E34" s="31">
        <v>46970</v>
      </c>
      <c r="F34" s="31">
        <v>46970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6">
        <f t="shared" si="1"/>
        <v>46970</v>
      </c>
    </row>
    <row r="35" spans="1:17" ht="47.25">
      <c r="A35" s="4" t="s">
        <v>295</v>
      </c>
      <c r="B35" s="4" t="s">
        <v>296</v>
      </c>
      <c r="C35" s="28" t="s">
        <v>36</v>
      </c>
      <c r="D35" s="36" t="s">
        <v>297</v>
      </c>
      <c r="E35" s="183">
        <f>70000+150000+150000+300000+552400+1000000+700000+(-100000)+70000+30000+91500+10000</f>
        <v>3023900</v>
      </c>
      <c r="F35" s="183">
        <f>70000+150000+150000+300000+552400+1000000+700000+(-100000)+70000+30000+91500+10000</f>
        <v>3023900</v>
      </c>
      <c r="G35" s="183"/>
      <c r="H35" s="183"/>
      <c r="I35" s="183"/>
      <c r="J35" s="183">
        <f>447600+50000+192300+100000+200000+100000+50000</f>
        <v>1139900</v>
      </c>
      <c r="K35" s="183">
        <f>447600+50000+192300+100000+200000+100000+50000</f>
        <v>1139900</v>
      </c>
      <c r="L35" s="183">
        <f>447600+50000+192300+100000+200000+100000+50000</f>
        <v>1139900</v>
      </c>
      <c r="M35" s="183"/>
      <c r="N35" s="183"/>
      <c r="O35" s="183"/>
      <c r="P35" s="183">
        <f>447600+50000+192300+100000+200000+100000+50000</f>
        <v>1139900</v>
      </c>
      <c r="Q35" s="46">
        <f t="shared" si="1"/>
        <v>4163800</v>
      </c>
    </row>
    <row r="36" spans="1:17" ht="18.75">
      <c r="A36" s="44" t="s">
        <v>53</v>
      </c>
      <c r="B36" s="44"/>
      <c r="C36" s="47"/>
      <c r="D36" s="37" t="s">
        <v>190</v>
      </c>
      <c r="E36" s="31">
        <f>E37</f>
        <v>178019995</v>
      </c>
      <c r="F36" s="31">
        <f aca="true" t="shared" si="3" ref="F36:P36">F37</f>
        <v>178019995</v>
      </c>
      <c r="G36" s="31">
        <f t="shared" si="3"/>
        <v>125639225</v>
      </c>
      <c r="H36" s="31">
        <f t="shared" si="3"/>
        <v>13329207</v>
      </c>
      <c r="I36" s="31">
        <f t="shared" si="3"/>
        <v>0</v>
      </c>
      <c r="J36" s="31">
        <f t="shared" si="3"/>
        <v>4689984.5</v>
      </c>
      <c r="K36" s="31">
        <f t="shared" si="3"/>
        <v>3164984.5</v>
      </c>
      <c r="L36" s="31">
        <f t="shared" si="3"/>
        <v>1123264.5</v>
      </c>
      <c r="M36" s="31">
        <f t="shared" si="3"/>
        <v>1525000</v>
      </c>
      <c r="N36" s="31">
        <f t="shared" si="3"/>
        <v>0</v>
      </c>
      <c r="O36" s="31">
        <f t="shared" si="3"/>
        <v>0</v>
      </c>
      <c r="P36" s="31">
        <f t="shared" si="3"/>
        <v>3164984.5</v>
      </c>
      <c r="Q36" s="46">
        <f t="shared" si="1"/>
        <v>182709979.5</v>
      </c>
    </row>
    <row r="37" spans="1:17" ht="18.75">
      <c r="A37" s="4" t="s">
        <v>54</v>
      </c>
      <c r="B37" s="4"/>
      <c r="C37" s="28"/>
      <c r="D37" s="37" t="s">
        <v>190</v>
      </c>
      <c r="E37" s="31">
        <f>E38+E39+E40+E44+E46+E50+E51+E58+E61+E62+E63</f>
        <v>178019995</v>
      </c>
      <c r="F37" s="31">
        <f>F38+F39+F40+F44+F46+F50+F51+F58+F61+F62+F63</f>
        <v>178019995</v>
      </c>
      <c r="G37" s="31">
        <f>G38+G39+G40+G44+G46+G50+G51+G58+G61+G62+G63</f>
        <v>125639225</v>
      </c>
      <c r="H37" s="31">
        <f>H38+H39+H40+H44+H46+H50+H51+H58+H61+H62+H63</f>
        <v>13329207</v>
      </c>
      <c r="I37" s="31">
        <f>I38+I39+I40+I44+I46+I50+I51+I58+I61</f>
        <v>0</v>
      </c>
      <c r="J37" s="31">
        <f>J38+J39+J40+J44+J50+J51+J58+J61+J62+J63+J66</f>
        <v>4689984.5</v>
      </c>
      <c r="K37" s="31">
        <f aca="true" t="shared" si="4" ref="K37:P37">K38+K39+K40+K44+K50+K51+K58+K61+K62+K63+K66</f>
        <v>3164984.5</v>
      </c>
      <c r="L37" s="31">
        <f t="shared" si="4"/>
        <v>1123264.5</v>
      </c>
      <c r="M37" s="31">
        <f t="shared" si="4"/>
        <v>1525000</v>
      </c>
      <c r="N37" s="31">
        <f t="shared" si="4"/>
        <v>0</v>
      </c>
      <c r="O37" s="31">
        <f t="shared" si="4"/>
        <v>0</v>
      </c>
      <c r="P37" s="31">
        <f t="shared" si="4"/>
        <v>3164984.5</v>
      </c>
      <c r="Q37" s="46">
        <f t="shared" si="1"/>
        <v>182709979.5</v>
      </c>
    </row>
    <row r="38" spans="1:17" ht="31.5">
      <c r="A38" s="4" t="s">
        <v>146</v>
      </c>
      <c r="B38" s="28" t="s">
        <v>123</v>
      </c>
      <c r="C38" s="28" t="s">
        <v>33</v>
      </c>
      <c r="D38" s="36" t="s">
        <v>217</v>
      </c>
      <c r="E38" s="31">
        <v>899700</v>
      </c>
      <c r="F38" s="31">
        <v>899700</v>
      </c>
      <c r="G38" s="31">
        <v>730800</v>
      </c>
      <c r="H38" s="31">
        <v>2000</v>
      </c>
      <c r="I38" s="31"/>
      <c r="J38" s="31"/>
      <c r="K38" s="31"/>
      <c r="L38" s="31"/>
      <c r="M38" s="31"/>
      <c r="N38" s="31"/>
      <c r="O38" s="31"/>
      <c r="P38" s="31"/>
      <c r="Q38" s="46">
        <f t="shared" si="1"/>
        <v>899700</v>
      </c>
    </row>
    <row r="39" spans="1:17" ht="18.75">
      <c r="A39" s="4" t="s">
        <v>137</v>
      </c>
      <c r="B39" s="4" t="s">
        <v>81</v>
      </c>
      <c r="C39" s="4" t="s">
        <v>139</v>
      </c>
      <c r="D39" s="36" t="s">
        <v>138</v>
      </c>
      <c r="E39" s="31">
        <f>22645700+2418100+62970+117200+20000+8051+60000+248300+155580+14000</f>
        <v>25749901</v>
      </c>
      <c r="F39" s="31">
        <f>22645700+2418100+62970+117200+20000+8051+60000+248300+155580+14000</f>
        <v>25749901</v>
      </c>
      <c r="G39" s="31">
        <v>16689400</v>
      </c>
      <c r="H39" s="31">
        <f>1100000+945700+8051+248300+10000</f>
        <v>2312051</v>
      </c>
      <c r="I39" s="31"/>
      <c r="J39" s="31">
        <f>700000+65000</f>
        <v>765000</v>
      </c>
      <c r="K39" s="31">
        <v>65000</v>
      </c>
      <c r="L39" s="31">
        <v>65000</v>
      </c>
      <c r="M39" s="31">
        <v>700000</v>
      </c>
      <c r="N39" s="31"/>
      <c r="O39" s="31"/>
      <c r="P39" s="31">
        <v>65000</v>
      </c>
      <c r="Q39" s="46">
        <f t="shared" si="1"/>
        <v>26514901</v>
      </c>
    </row>
    <row r="40" spans="1:17" ht="31.5">
      <c r="A40" s="4" t="s">
        <v>55</v>
      </c>
      <c r="B40" s="3">
        <v>1020</v>
      </c>
      <c r="C40" s="4"/>
      <c r="D40" s="36" t="s">
        <v>156</v>
      </c>
      <c r="E40" s="31">
        <f>E41</f>
        <v>61286826</v>
      </c>
      <c r="F40" s="31">
        <f>F41</f>
        <v>61286826</v>
      </c>
      <c r="G40" s="31">
        <f>G41</f>
        <v>35879400</v>
      </c>
      <c r="H40" s="31">
        <f>H41</f>
        <v>10963656</v>
      </c>
      <c r="I40" s="31"/>
      <c r="J40" s="31">
        <f>J41</f>
        <v>1676000</v>
      </c>
      <c r="K40" s="31">
        <f aca="true" t="shared" si="5" ref="K40:P40">K41</f>
        <v>851000</v>
      </c>
      <c r="L40" s="31">
        <f t="shared" si="5"/>
        <v>652000</v>
      </c>
      <c r="M40" s="31">
        <f t="shared" si="5"/>
        <v>825000</v>
      </c>
      <c r="N40" s="31">
        <f t="shared" si="5"/>
        <v>0</v>
      </c>
      <c r="O40" s="31">
        <f t="shared" si="5"/>
        <v>0</v>
      </c>
      <c r="P40" s="31">
        <f t="shared" si="5"/>
        <v>851000</v>
      </c>
      <c r="Q40" s="46">
        <f t="shared" si="1"/>
        <v>62962826</v>
      </c>
    </row>
    <row r="41" spans="1:17" ht="31.5">
      <c r="A41" s="4" t="s">
        <v>157</v>
      </c>
      <c r="B41" s="3">
        <v>1021</v>
      </c>
      <c r="C41" s="4" t="s">
        <v>56</v>
      </c>
      <c r="D41" s="36" t="s">
        <v>156</v>
      </c>
      <c r="E41" s="31">
        <f>47195580+11961870+310310+748+142370+300000+82400+(-99000)+124900+900000+18328+220000+(-248300)+321620+56000</f>
        <v>61286826</v>
      </c>
      <c r="F41" s="31">
        <f>47195580+11961870+310310+748+142370+300000+82400+(-99000)+124900+900000+18328+220000+(-248300)+321620+56000</f>
        <v>61286826</v>
      </c>
      <c r="G41" s="31">
        <f>30200000+5433500+245900</f>
        <v>35879400</v>
      </c>
      <c r="H41" s="31">
        <f>8205080+2967800+748+18328+(-248300)+20000</f>
        <v>10963656</v>
      </c>
      <c r="I41" s="31"/>
      <c r="J41" s="31">
        <f>825000+17000+386000+99000+150000+199000</f>
        <v>1676000</v>
      </c>
      <c r="K41" s="31">
        <f>17000+386000+99000+150000+199000</f>
        <v>851000</v>
      </c>
      <c r="L41" s="31">
        <f>17000+386000+99000+150000</f>
        <v>652000</v>
      </c>
      <c r="M41" s="31">
        <v>825000</v>
      </c>
      <c r="N41" s="31"/>
      <c r="O41" s="31"/>
      <c r="P41" s="31">
        <f>17000+386000+99000+150000+199000</f>
        <v>851000</v>
      </c>
      <c r="Q41" s="46">
        <f t="shared" si="1"/>
        <v>62962826</v>
      </c>
    </row>
    <row r="42" spans="1:17" ht="18.75" hidden="1">
      <c r="A42" s="4"/>
      <c r="B42" s="3"/>
      <c r="C42" s="4"/>
      <c r="D42" s="99" t="s">
        <v>102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6">
        <f t="shared" si="1"/>
        <v>0</v>
      </c>
    </row>
    <row r="43" spans="1:17" ht="47.25" hidden="1">
      <c r="A43" s="4"/>
      <c r="B43" s="3"/>
      <c r="C43" s="4"/>
      <c r="D43" s="99" t="s">
        <v>174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6">
        <f t="shared" si="1"/>
        <v>0</v>
      </c>
    </row>
    <row r="44" spans="1:17" ht="36.75" customHeight="1">
      <c r="A44" s="4" t="s">
        <v>158</v>
      </c>
      <c r="B44" s="3">
        <v>1030</v>
      </c>
      <c r="C44" s="4"/>
      <c r="D44" s="36" t="s">
        <v>160</v>
      </c>
      <c r="E44" s="31">
        <f>E45</f>
        <v>77154700</v>
      </c>
      <c r="F44" s="31">
        <f>F45</f>
        <v>77154700</v>
      </c>
      <c r="G44" s="31">
        <f>G45</f>
        <v>63241500</v>
      </c>
      <c r="H44" s="31">
        <f>H45</f>
        <v>0</v>
      </c>
      <c r="I44" s="31"/>
      <c r="J44" s="31"/>
      <c r="K44" s="31"/>
      <c r="L44" s="31"/>
      <c r="M44" s="31"/>
      <c r="N44" s="31"/>
      <c r="O44" s="31"/>
      <c r="P44" s="31"/>
      <c r="Q44" s="46">
        <f t="shared" si="1"/>
        <v>77154700</v>
      </c>
    </row>
    <row r="45" spans="1:17" ht="31.5">
      <c r="A45" s="4" t="s">
        <v>159</v>
      </c>
      <c r="B45" s="3">
        <v>1031</v>
      </c>
      <c r="C45" s="4" t="s">
        <v>56</v>
      </c>
      <c r="D45" s="36" t="s">
        <v>258</v>
      </c>
      <c r="E45" s="31">
        <v>77154700</v>
      </c>
      <c r="F45" s="31">
        <v>77154700</v>
      </c>
      <c r="G45" s="31">
        <v>63241500</v>
      </c>
      <c r="H45" s="31"/>
      <c r="I45" s="31"/>
      <c r="J45" s="31"/>
      <c r="K45" s="31"/>
      <c r="L45" s="31"/>
      <c r="M45" s="31"/>
      <c r="N45" s="31"/>
      <c r="O45" s="31"/>
      <c r="P45" s="31"/>
      <c r="Q45" s="46">
        <f t="shared" si="1"/>
        <v>77154700</v>
      </c>
    </row>
    <row r="46" spans="1:17" ht="18.75" hidden="1">
      <c r="A46" s="4"/>
      <c r="B46" s="3"/>
      <c r="C46" s="4"/>
      <c r="D46" s="36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6">
        <f t="shared" si="1"/>
        <v>0</v>
      </c>
    </row>
    <row r="47" spans="1:17" ht="19.5" customHeight="1" hidden="1">
      <c r="A47" s="4"/>
      <c r="B47" s="3"/>
      <c r="C47" s="4"/>
      <c r="D47" s="99" t="s">
        <v>102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6">
        <f t="shared" si="1"/>
        <v>0</v>
      </c>
    </row>
    <row r="48" spans="1:17" ht="70.5" customHeight="1" hidden="1">
      <c r="A48" s="4"/>
      <c r="B48" s="3"/>
      <c r="C48" s="4"/>
      <c r="D48" s="99" t="s">
        <v>143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6">
        <f t="shared" si="1"/>
        <v>0</v>
      </c>
    </row>
    <row r="49" spans="1:17" ht="76.5" customHeight="1" hidden="1">
      <c r="A49" s="4"/>
      <c r="B49" s="3"/>
      <c r="C49" s="4"/>
      <c r="D49" s="99" t="s">
        <v>144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6">
        <f t="shared" si="1"/>
        <v>0</v>
      </c>
    </row>
    <row r="50" spans="1:17" ht="31.5">
      <c r="A50" s="4" t="s">
        <v>161</v>
      </c>
      <c r="B50" s="3">
        <v>1070</v>
      </c>
      <c r="C50" s="4" t="s">
        <v>57</v>
      </c>
      <c r="D50" s="36" t="s">
        <v>121</v>
      </c>
      <c r="E50" s="31">
        <f>5373300+14700+16030+69000</f>
        <v>5473030</v>
      </c>
      <c r="F50" s="31">
        <f>5373300+14700+16030+69000</f>
        <v>5473030</v>
      </c>
      <c r="G50" s="31">
        <v>4388700</v>
      </c>
      <c r="H50" s="31">
        <v>16000</v>
      </c>
      <c r="I50" s="31"/>
      <c r="J50" s="31"/>
      <c r="K50" s="31"/>
      <c r="L50" s="31"/>
      <c r="M50" s="31"/>
      <c r="N50" s="31"/>
      <c r="O50" s="31"/>
      <c r="P50" s="31"/>
      <c r="Q50" s="46">
        <f t="shared" si="1"/>
        <v>5473030</v>
      </c>
    </row>
    <row r="51" spans="1:17" ht="18.75">
      <c r="A51" s="4" t="s">
        <v>163</v>
      </c>
      <c r="B51" s="3">
        <v>1140</v>
      </c>
      <c r="C51" s="4"/>
      <c r="D51" s="36" t="s">
        <v>164</v>
      </c>
      <c r="E51" s="31">
        <f>E52+E55</f>
        <v>4737100</v>
      </c>
      <c r="F51" s="31">
        <f>F52+F55</f>
        <v>4737100</v>
      </c>
      <c r="G51" s="31">
        <f>G52+G55</f>
        <v>2491260</v>
      </c>
      <c r="H51" s="31">
        <f>H52+H55</f>
        <v>30500</v>
      </c>
      <c r="I51" s="31"/>
      <c r="J51" s="31">
        <f>J52+J55</f>
        <v>23000</v>
      </c>
      <c r="K51" s="31">
        <f aca="true" t="shared" si="6" ref="K51:P51">K52+K55</f>
        <v>23000</v>
      </c>
      <c r="L51" s="31">
        <f t="shared" si="6"/>
        <v>23000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23000</v>
      </c>
      <c r="Q51" s="46">
        <f t="shared" si="1"/>
        <v>4760100</v>
      </c>
    </row>
    <row r="52" spans="1:17" ht="18.75">
      <c r="A52" s="4" t="s">
        <v>165</v>
      </c>
      <c r="B52" s="3">
        <v>1141</v>
      </c>
      <c r="C52" s="4" t="s">
        <v>58</v>
      </c>
      <c r="D52" s="36" t="s">
        <v>59</v>
      </c>
      <c r="E52" s="31">
        <f>3096850+500</f>
        <v>3097350</v>
      </c>
      <c r="F52" s="31">
        <f>3096850+500</f>
        <v>3097350</v>
      </c>
      <c r="G52" s="31">
        <v>2491260</v>
      </c>
      <c r="H52" s="31">
        <f>30000+500</f>
        <v>30500</v>
      </c>
      <c r="I52" s="31"/>
      <c r="J52" s="31">
        <v>23000</v>
      </c>
      <c r="K52" s="31">
        <v>23000</v>
      </c>
      <c r="L52" s="31">
        <v>23000</v>
      </c>
      <c r="M52" s="31"/>
      <c r="N52" s="31"/>
      <c r="O52" s="31"/>
      <c r="P52" s="31">
        <v>23000</v>
      </c>
      <c r="Q52" s="46">
        <f t="shared" si="1"/>
        <v>3120350</v>
      </c>
    </row>
    <row r="53" spans="1:17" ht="18.75" hidden="1">
      <c r="A53" s="4"/>
      <c r="B53" s="3"/>
      <c r="C53" s="4"/>
      <c r="D53" s="36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6">
        <f t="shared" si="1"/>
        <v>0</v>
      </c>
    </row>
    <row r="54" spans="1:17" ht="18.75" hidden="1">
      <c r="A54" s="4"/>
      <c r="B54" s="3"/>
      <c r="C54" s="4"/>
      <c r="D54" s="9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6">
        <f t="shared" si="1"/>
        <v>0</v>
      </c>
    </row>
    <row r="55" spans="1:17" ht="18.75">
      <c r="A55" s="4" t="s">
        <v>166</v>
      </c>
      <c r="B55" s="3">
        <v>1142</v>
      </c>
      <c r="C55" s="4" t="s">
        <v>58</v>
      </c>
      <c r="D55" s="36" t="s">
        <v>60</v>
      </c>
      <c r="E55" s="31">
        <f>1223100+50000+50000+289650+27000</f>
        <v>1639750</v>
      </c>
      <c r="F55" s="31">
        <f>1223100+50000+50000+289650+27000</f>
        <v>1639750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6">
        <f t="shared" si="1"/>
        <v>1639750</v>
      </c>
    </row>
    <row r="56" spans="1:17" ht="18.75" hidden="1">
      <c r="A56" s="4"/>
      <c r="B56" s="3"/>
      <c r="C56" s="4"/>
      <c r="D56" s="3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6">
        <f t="shared" si="1"/>
        <v>0</v>
      </c>
    </row>
    <row r="57" spans="1:17" ht="18.75" hidden="1">
      <c r="A57" s="4"/>
      <c r="B57" s="3"/>
      <c r="C57" s="4"/>
      <c r="D57" s="36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6">
        <f t="shared" si="1"/>
        <v>0</v>
      </c>
    </row>
    <row r="58" spans="1:17" ht="18.75">
      <c r="A58" s="4" t="s">
        <v>167</v>
      </c>
      <c r="B58" s="3">
        <v>1150</v>
      </c>
      <c r="C58" s="4"/>
      <c r="D58" s="36" t="s">
        <v>107</v>
      </c>
      <c r="E58" s="31">
        <f>E59+E60</f>
        <v>1096240</v>
      </c>
      <c r="F58" s="31">
        <f>F59+F60</f>
        <v>1096240</v>
      </c>
      <c r="G58" s="31">
        <f>G59+G60</f>
        <v>893200</v>
      </c>
      <c r="H58" s="31">
        <f>H59+H60</f>
        <v>1000</v>
      </c>
      <c r="I58" s="31"/>
      <c r="J58" s="31">
        <f>J59+J60</f>
        <v>30000</v>
      </c>
      <c r="K58" s="31">
        <f>K59+K60</f>
        <v>30000</v>
      </c>
      <c r="L58" s="31">
        <f>L59+L60</f>
        <v>30000</v>
      </c>
      <c r="M58" s="31"/>
      <c r="N58" s="31"/>
      <c r="O58" s="31"/>
      <c r="P58" s="31">
        <f>P59+P60</f>
        <v>30000</v>
      </c>
      <c r="Q58" s="46">
        <f t="shared" si="1"/>
        <v>1126240</v>
      </c>
    </row>
    <row r="59" spans="1:17" ht="31.5">
      <c r="A59" s="4" t="s">
        <v>169</v>
      </c>
      <c r="B59" s="3">
        <v>1151</v>
      </c>
      <c r="C59" s="4" t="s">
        <v>58</v>
      </c>
      <c r="D59" s="36" t="s">
        <v>168</v>
      </c>
      <c r="E59" s="31">
        <f>3000+1200+2340+30000+(-30000)</f>
        <v>6540</v>
      </c>
      <c r="F59" s="31">
        <f>3000+1200+2340+30000+(-30000)</f>
        <v>6540</v>
      </c>
      <c r="G59" s="31"/>
      <c r="H59" s="31">
        <v>1000</v>
      </c>
      <c r="I59" s="31"/>
      <c r="J59" s="31">
        <v>30000</v>
      </c>
      <c r="K59" s="31">
        <v>30000</v>
      </c>
      <c r="L59" s="31">
        <v>30000</v>
      </c>
      <c r="M59" s="31"/>
      <c r="N59" s="31"/>
      <c r="O59" s="31"/>
      <c r="P59" s="31">
        <v>30000</v>
      </c>
      <c r="Q59" s="46">
        <f t="shared" si="1"/>
        <v>36540</v>
      </c>
    </row>
    <row r="60" spans="1:17" ht="38.25" customHeight="1">
      <c r="A60" s="4" t="s">
        <v>170</v>
      </c>
      <c r="B60" s="3">
        <v>1152</v>
      </c>
      <c r="C60" s="4" t="s">
        <v>58</v>
      </c>
      <c r="D60" s="36" t="s">
        <v>171</v>
      </c>
      <c r="E60" s="31">
        <v>1089700</v>
      </c>
      <c r="F60" s="31">
        <v>1089700</v>
      </c>
      <c r="G60" s="31">
        <v>893200</v>
      </c>
      <c r="H60" s="31"/>
      <c r="I60" s="31"/>
      <c r="J60" s="31"/>
      <c r="K60" s="31"/>
      <c r="L60" s="31"/>
      <c r="M60" s="31"/>
      <c r="N60" s="31"/>
      <c r="O60" s="31"/>
      <c r="P60" s="31"/>
      <c r="Q60" s="46">
        <f t="shared" si="1"/>
        <v>1089700</v>
      </c>
    </row>
    <row r="61" spans="1:17" ht="38.25" customHeight="1">
      <c r="A61" s="4" t="s">
        <v>178</v>
      </c>
      <c r="B61" s="3">
        <v>1160</v>
      </c>
      <c r="C61" s="4" t="s">
        <v>58</v>
      </c>
      <c r="D61" s="36" t="s">
        <v>179</v>
      </c>
      <c r="E61" s="31">
        <v>1243670</v>
      </c>
      <c r="F61" s="31">
        <v>1243670</v>
      </c>
      <c r="G61" s="31">
        <v>1014450</v>
      </c>
      <c r="H61" s="31">
        <v>4000</v>
      </c>
      <c r="I61" s="31"/>
      <c r="J61" s="31">
        <v>17000</v>
      </c>
      <c r="K61" s="31">
        <v>17000</v>
      </c>
      <c r="L61" s="31">
        <v>17000</v>
      </c>
      <c r="M61" s="31"/>
      <c r="N61" s="31"/>
      <c r="O61" s="31"/>
      <c r="P61" s="31">
        <v>17000</v>
      </c>
      <c r="Q61" s="46">
        <f t="shared" si="1"/>
        <v>1260670</v>
      </c>
    </row>
    <row r="62" spans="1:17" ht="69.75" customHeight="1">
      <c r="A62" s="4" t="s">
        <v>172</v>
      </c>
      <c r="B62" s="3">
        <v>1200</v>
      </c>
      <c r="C62" s="4" t="s">
        <v>58</v>
      </c>
      <c r="D62" s="36" t="s">
        <v>173</v>
      </c>
      <c r="E62" s="31">
        <v>270400</v>
      </c>
      <c r="F62" s="31">
        <v>270400</v>
      </c>
      <c r="G62" s="31">
        <v>221640</v>
      </c>
      <c r="H62" s="31"/>
      <c r="I62" s="31"/>
      <c r="J62" s="31"/>
      <c r="K62" s="31"/>
      <c r="L62" s="31"/>
      <c r="M62" s="31"/>
      <c r="N62" s="31"/>
      <c r="O62" s="31"/>
      <c r="P62" s="31"/>
      <c r="Q62" s="46">
        <f t="shared" si="1"/>
        <v>270400</v>
      </c>
    </row>
    <row r="63" spans="1:17" ht="76.5" customHeight="1">
      <c r="A63" s="4" t="s">
        <v>284</v>
      </c>
      <c r="B63" s="3">
        <v>1210</v>
      </c>
      <c r="C63" s="4" t="s">
        <v>58</v>
      </c>
      <c r="D63" s="36" t="s">
        <v>285</v>
      </c>
      <c r="E63" s="31">
        <f>E65</f>
        <v>108428</v>
      </c>
      <c r="F63" s="31">
        <f>F65</f>
        <v>108428</v>
      </c>
      <c r="G63" s="31">
        <f>G65</f>
        <v>88875</v>
      </c>
      <c r="H63" s="31"/>
      <c r="I63" s="31"/>
      <c r="J63" s="31">
        <f>J65</f>
        <v>153700</v>
      </c>
      <c r="K63" s="31">
        <f>K65</f>
        <v>153700</v>
      </c>
      <c r="L63" s="31">
        <f>L65</f>
        <v>153700</v>
      </c>
      <c r="M63" s="31"/>
      <c r="N63" s="31"/>
      <c r="O63" s="31"/>
      <c r="P63" s="31">
        <f>P65</f>
        <v>153700</v>
      </c>
      <c r="Q63" s="46">
        <f t="shared" si="1"/>
        <v>262128</v>
      </c>
    </row>
    <row r="64" spans="1:17" ht="24" customHeight="1">
      <c r="A64" s="4"/>
      <c r="B64" s="3"/>
      <c r="C64" s="4"/>
      <c r="D64" s="36" t="s">
        <v>286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6">
        <f t="shared" si="1"/>
        <v>0</v>
      </c>
    </row>
    <row r="65" spans="1:17" ht="72.75" customHeight="1">
      <c r="A65" s="4"/>
      <c r="B65" s="3"/>
      <c r="C65" s="4"/>
      <c r="D65" s="99" t="s">
        <v>287</v>
      </c>
      <c r="E65" s="31">
        <v>108428</v>
      </c>
      <c r="F65" s="31">
        <v>108428</v>
      </c>
      <c r="G65" s="31">
        <v>88875</v>
      </c>
      <c r="H65" s="31"/>
      <c r="I65" s="31"/>
      <c r="J65" s="31">
        <v>153700</v>
      </c>
      <c r="K65" s="31">
        <v>153700</v>
      </c>
      <c r="L65" s="31">
        <v>153700</v>
      </c>
      <c r="M65" s="31"/>
      <c r="N65" s="31"/>
      <c r="O65" s="31"/>
      <c r="P65" s="31">
        <v>153700</v>
      </c>
      <c r="Q65" s="46">
        <f t="shared" si="1"/>
        <v>262128</v>
      </c>
    </row>
    <row r="66" spans="1:17" ht="52.5" customHeight="1">
      <c r="A66" s="4" t="s">
        <v>288</v>
      </c>
      <c r="B66" s="3">
        <v>7363</v>
      </c>
      <c r="C66" s="4" t="s">
        <v>289</v>
      </c>
      <c r="D66" s="36" t="s">
        <v>290</v>
      </c>
      <c r="E66" s="31"/>
      <c r="F66" s="31"/>
      <c r="G66" s="31"/>
      <c r="H66" s="31"/>
      <c r="I66" s="31"/>
      <c r="J66" s="31">
        <f>2820+1979744.5+42720</f>
        <v>2025284.5</v>
      </c>
      <c r="K66" s="31">
        <f>2820+1979744.5+42720</f>
        <v>2025284.5</v>
      </c>
      <c r="L66" s="31">
        <f>182564.5</f>
        <v>182564.5</v>
      </c>
      <c r="M66" s="31"/>
      <c r="N66" s="31"/>
      <c r="O66" s="31"/>
      <c r="P66" s="31">
        <f>2820+1979744.5+42720</f>
        <v>2025284.5</v>
      </c>
      <c r="Q66" s="46">
        <f t="shared" si="1"/>
        <v>2025284.5</v>
      </c>
    </row>
    <row r="67" spans="1:17" ht="38.25" customHeight="1">
      <c r="A67" s="44" t="s">
        <v>151</v>
      </c>
      <c r="B67" s="44"/>
      <c r="C67" s="47"/>
      <c r="D67" s="37" t="s">
        <v>191</v>
      </c>
      <c r="E67" s="31">
        <f>E68</f>
        <v>16833600</v>
      </c>
      <c r="F67" s="31">
        <f aca="true" t="shared" si="7" ref="F67:P67">F68</f>
        <v>16833600</v>
      </c>
      <c r="G67" s="31">
        <f t="shared" si="7"/>
        <v>10074900</v>
      </c>
      <c r="H67" s="31">
        <f t="shared" si="7"/>
        <v>91000</v>
      </c>
      <c r="I67" s="31">
        <f t="shared" si="7"/>
        <v>0</v>
      </c>
      <c r="J67" s="31">
        <f t="shared" si="7"/>
        <v>375000</v>
      </c>
      <c r="K67" s="31">
        <f t="shared" si="7"/>
        <v>0</v>
      </c>
      <c r="L67" s="31">
        <f t="shared" si="7"/>
        <v>0</v>
      </c>
      <c r="M67" s="31">
        <f t="shared" si="7"/>
        <v>375000</v>
      </c>
      <c r="N67" s="31">
        <f t="shared" si="7"/>
        <v>30000</v>
      </c>
      <c r="O67" s="31">
        <f t="shared" si="7"/>
        <v>73500</v>
      </c>
      <c r="P67" s="31">
        <f t="shared" si="7"/>
        <v>0</v>
      </c>
      <c r="Q67" s="46">
        <f t="shared" si="1"/>
        <v>17208600</v>
      </c>
    </row>
    <row r="68" spans="1:17" ht="38.25" customHeight="1">
      <c r="A68" s="4" t="s">
        <v>152</v>
      </c>
      <c r="B68" s="4"/>
      <c r="C68" s="28"/>
      <c r="D68" s="37" t="s">
        <v>191</v>
      </c>
      <c r="E68" s="31">
        <f>E69+E70+E71+E72+E73+E74+E75+E76+E77+E78+E80+E79</f>
        <v>16833600</v>
      </c>
      <c r="F68" s="31">
        <f>F69+F70+F71+F72+F73+F74+F75+F76+F77+F78+F80+F79</f>
        <v>16833600</v>
      </c>
      <c r="G68" s="31">
        <f aca="true" t="shared" si="8" ref="G68:P68">G69+G70+G71+G72+G73+G74+G75+G76+G77+G78+G80</f>
        <v>10074900</v>
      </c>
      <c r="H68" s="31">
        <f t="shared" si="8"/>
        <v>91000</v>
      </c>
      <c r="I68" s="31">
        <f t="shared" si="8"/>
        <v>0</v>
      </c>
      <c r="J68" s="31">
        <f t="shared" si="8"/>
        <v>375000</v>
      </c>
      <c r="K68" s="31">
        <f t="shared" si="8"/>
        <v>0</v>
      </c>
      <c r="L68" s="31">
        <f t="shared" si="8"/>
        <v>0</v>
      </c>
      <c r="M68" s="31">
        <f t="shared" si="8"/>
        <v>375000</v>
      </c>
      <c r="N68" s="31">
        <f t="shared" si="8"/>
        <v>30000</v>
      </c>
      <c r="O68" s="31">
        <f t="shared" si="8"/>
        <v>73500</v>
      </c>
      <c r="P68" s="31">
        <f t="shared" si="8"/>
        <v>0</v>
      </c>
      <c r="Q68" s="46">
        <f t="shared" si="1"/>
        <v>17208600</v>
      </c>
    </row>
    <row r="69" spans="1:17" ht="38.25" customHeight="1">
      <c r="A69" s="4" t="s">
        <v>153</v>
      </c>
      <c r="B69" s="28" t="s">
        <v>123</v>
      </c>
      <c r="C69" s="28" t="s">
        <v>33</v>
      </c>
      <c r="D69" s="36" t="s">
        <v>217</v>
      </c>
      <c r="E69" s="31">
        <v>2646320</v>
      </c>
      <c r="F69" s="31">
        <v>2646320</v>
      </c>
      <c r="G69" s="31">
        <v>2026000</v>
      </c>
      <c r="H69" s="31">
        <v>25000</v>
      </c>
      <c r="I69" s="31"/>
      <c r="J69" s="31"/>
      <c r="K69" s="31"/>
      <c r="L69" s="31"/>
      <c r="M69" s="31"/>
      <c r="N69" s="31"/>
      <c r="O69" s="31"/>
      <c r="P69" s="31"/>
      <c r="Q69" s="46">
        <f t="shared" si="1"/>
        <v>2646320</v>
      </c>
    </row>
    <row r="70" spans="1:17" ht="38.25" customHeight="1">
      <c r="A70" s="4" t="s">
        <v>66</v>
      </c>
      <c r="B70" s="4" t="s">
        <v>67</v>
      </c>
      <c r="C70" s="28" t="s">
        <v>65</v>
      </c>
      <c r="D70" s="36" t="s">
        <v>68</v>
      </c>
      <c r="E70" s="31">
        <v>5000</v>
      </c>
      <c r="F70" s="31">
        <v>5000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6">
        <f t="shared" si="1"/>
        <v>5000</v>
      </c>
    </row>
    <row r="71" spans="1:17" ht="38.25" customHeight="1">
      <c r="A71" s="4" t="s">
        <v>69</v>
      </c>
      <c r="B71" s="4" t="s">
        <v>70</v>
      </c>
      <c r="C71" s="28" t="s">
        <v>71</v>
      </c>
      <c r="D71" s="36" t="s">
        <v>72</v>
      </c>
      <c r="E71" s="31">
        <v>25000</v>
      </c>
      <c r="F71" s="31">
        <v>25000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6">
        <f t="shared" si="1"/>
        <v>25000</v>
      </c>
    </row>
    <row r="72" spans="1:17" ht="38.25" customHeight="1">
      <c r="A72" s="4" t="s">
        <v>73</v>
      </c>
      <c r="B72" s="28" t="s">
        <v>74</v>
      </c>
      <c r="C72" s="28" t="s">
        <v>71</v>
      </c>
      <c r="D72" s="36" t="s">
        <v>75</v>
      </c>
      <c r="E72" s="31">
        <v>50000</v>
      </c>
      <c r="F72" s="31">
        <v>50000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6">
        <f t="shared" si="1"/>
        <v>50000</v>
      </c>
    </row>
    <row r="73" spans="1:17" ht="38.25" customHeight="1">
      <c r="A73" s="4" t="s">
        <v>76</v>
      </c>
      <c r="B73" s="4" t="s">
        <v>77</v>
      </c>
      <c r="C73" s="28" t="s">
        <v>71</v>
      </c>
      <c r="D73" s="36" t="s">
        <v>78</v>
      </c>
      <c r="E73" s="31">
        <v>100000</v>
      </c>
      <c r="F73" s="31">
        <v>100000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6">
        <f t="shared" si="1"/>
        <v>100000</v>
      </c>
    </row>
    <row r="74" spans="1:17" ht="57.75" customHeight="1">
      <c r="A74" s="4" t="s">
        <v>149</v>
      </c>
      <c r="B74" s="4" t="s">
        <v>44</v>
      </c>
      <c r="C74" s="28" t="s">
        <v>45</v>
      </c>
      <c r="D74" s="36" t="s">
        <v>46</v>
      </c>
      <c r="E74" s="31">
        <f>9166500+15000</f>
        <v>9181500</v>
      </c>
      <c r="F74" s="31">
        <f>9166500+15000</f>
        <v>9181500</v>
      </c>
      <c r="G74" s="31">
        <v>7384900</v>
      </c>
      <c r="H74" s="31">
        <v>54000</v>
      </c>
      <c r="I74" s="31"/>
      <c r="J74" s="31">
        <v>375000</v>
      </c>
      <c r="K74" s="31"/>
      <c r="L74" s="31"/>
      <c r="M74" s="31">
        <v>375000</v>
      </c>
      <c r="N74" s="31">
        <v>30000</v>
      </c>
      <c r="O74" s="31">
        <v>73500</v>
      </c>
      <c r="P74" s="31"/>
      <c r="Q74" s="46">
        <f>E74+J74</f>
        <v>9556500</v>
      </c>
    </row>
    <row r="75" spans="1:17" ht="38.25" customHeight="1">
      <c r="A75" s="4" t="s">
        <v>150</v>
      </c>
      <c r="B75" s="28" t="s">
        <v>47</v>
      </c>
      <c r="C75" s="28" t="s">
        <v>48</v>
      </c>
      <c r="D75" s="36" t="s">
        <v>175</v>
      </c>
      <c r="E75" s="31">
        <v>844100</v>
      </c>
      <c r="F75" s="31">
        <v>844100</v>
      </c>
      <c r="G75" s="31">
        <v>664000</v>
      </c>
      <c r="H75" s="31">
        <v>12000</v>
      </c>
      <c r="I75" s="31"/>
      <c r="J75" s="31"/>
      <c r="K75" s="31"/>
      <c r="L75" s="31"/>
      <c r="M75" s="31"/>
      <c r="N75" s="31"/>
      <c r="O75" s="31"/>
      <c r="P75" s="31"/>
      <c r="Q75" s="46">
        <f aca="true" t="shared" si="9" ref="Q75:Q113">E75+J75</f>
        <v>844100</v>
      </c>
    </row>
    <row r="76" spans="1:17" ht="68.25" customHeight="1">
      <c r="A76" s="4" t="s">
        <v>205</v>
      </c>
      <c r="B76" s="29">
        <v>3140</v>
      </c>
      <c r="C76" s="28" t="s">
        <v>48</v>
      </c>
      <c r="D76" s="100" t="s">
        <v>206</v>
      </c>
      <c r="E76" s="31">
        <v>60000</v>
      </c>
      <c r="F76" s="31">
        <v>60000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6">
        <f t="shared" si="9"/>
        <v>60000</v>
      </c>
    </row>
    <row r="77" spans="1:17" ht="70.5" customHeight="1">
      <c r="A77" s="4" t="s">
        <v>79</v>
      </c>
      <c r="B77" s="4" t="s">
        <v>80</v>
      </c>
      <c r="C77" s="28" t="s">
        <v>81</v>
      </c>
      <c r="D77" s="36" t="s">
        <v>82</v>
      </c>
      <c r="E77" s="31">
        <v>1240000</v>
      </c>
      <c r="F77" s="31">
        <v>1240000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6">
        <f t="shared" si="9"/>
        <v>1240000</v>
      </c>
    </row>
    <row r="78" spans="1:17" ht="38.25" customHeight="1">
      <c r="A78" s="4" t="s">
        <v>83</v>
      </c>
      <c r="B78" s="3">
        <v>3191</v>
      </c>
      <c r="C78" s="3">
        <v>1030</v>
      </c>
      <c r="D78" s="36" t="s">
        <v>84</v>
      </c>
      <c r="E78" s="31">
        <v>33000</v>
      </c>
      <c r="F78" s="31">
        <v>33000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6">
        <f t="shared" si="9"/>
        <v>33000</v>
      </c>
    </row>
    <row r="79" spans="1:17" ht="52.5" customHeight="1">
      <c r="A79" s="4" t="s">
        <v>481</v>
      </c>
      <c r="B79" s="3">
        <v>3230</v>
      </c>
      <c r="C79" s="3">
        <v>1070</v>
      </c>
      <c r="D79" s="36" t="s">
        <v>480</v>
      </c>
      <c r="E79" s="31">
        <v>300000</v>
      </c>
      <c r="F79" s="31">
        <v>300000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6">
        <f t="shared" si="9"/>
        <v>300000</v>
      </c>
    </row>
    <row r="80" spans="1:17" ht="38.25" customHeight="1">
      <c r="A80" s="4" t="s">
        <v>86</v>
      </c>
      <c r="B80" s="3">
        <v>3242</v>
      </c>
      <c r="C80" s="3">
        <v>1090</v>
      </c>
      <c r="D80" s="36" t="s">
        <v>49</v>
      </c>
      <c r="E80" s="31">
        <f>1128680+500000+720000</f>
        <v>2348680</v>
      </c>
      <c r="F80" s="31">
        <f>1128680+500000+720000</f>
        <v>2348680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6">
        <f t="shared" si="9"/>
        <v>2348680</v>
      </c>
    </row>
    <row r="81" spans="1:17" ht="18.75">
      <c r="A81" s="44" t="s">
        <v>87</v>
      </c>
      <c r="B81" s="44"/>
      <c r="C81" s="30"/>
      <c r="D81" s="37" t="s">
        <v>192</v>
      </c>
      <c r="E81" s="31">
        <f>E82</f>
        <v>17835100</v>
      </c>
      <c r="F81" s="31">
        <f aca="true" t="shared" si="10" ref="F81:P81">F82</f>
        <v>17835100</v>
      </c>
      <c r="G81" s="31">
        <f t="shared" si="10"/>
        <v>12537300</v>
      </c>
      <c r="H81" s="31">
        <f t="shared" si="10"/>
        <v>1093312.38</v>
      </c>
      <c r="I81" s="31">
        <f t="shared" si="10"/>
        <v>0</v>
      </c>
      <c r="J81" s="31">
        <f t="shared" si="10"/>
        <v>271900</v>
      </c>
      <c r="K81" s="31">
        <f t="shared" si="10"/>
        <v>138500</v>
      </c>
      <c r="L81" s="31">
        <f t="shared" si="10"/>
        <v>138500</v>
      </c>
      <c r="M81" s="31">
        <f t="shared" si="10"/>
        <v>133400</v>
      </c>
      <c r="N81" s="31">
        <f t="shared" si="10"/>
        <v>61800</v>
      </c>
      <c r="O81" s="31">
        <f t="shared" si="10"/>
        <v>29000</v>
      </c>
      <c r="P81" s="31">
        <f t="shared" si="10"/>
        <v>138500</v>
      </c>
      <c r="Q81" s="46">
        <f t="shared" si="9"/>
        <v>18107000</v>
      </c>
    </row>
    <row r="82" spans="1:17" ht="18.75">
      <c r="A82" s="4" t="s">
        <v>88</v>
      </c>
      <c r="B82" s="4"/>
      <c r="C82" s="29"/>
      <c r="D82" s="37" t="s">
        <v>192</v>
      </c>
      <c r="E82" s="31">
        <f>E83+E84+E85+E86+E87+E88</f>
        <v>17835100</v>
      </c>
      <c r="F82" s="31">
        <f aca="true" t="shared" si="11" ref="F82:P82">F83+F84+F85+F86+F87+F88</f>
        <v>17835100</v>
      </c>
      <c r="G82" s="31">
        <f t="shared" si="11"/>
        <v>12537300</v>
      </c>
      <c r="H82" s="31">
        <f t="shared" si="11"/>
        <v>1093312.38</v>
      </c>
      <c r="I82" s="31">
        <f t="shared" si="11"/>
        <v>0</v>
      </c>
      <c r="J82" s="31">
        <f t="shared" si="11"/>
        <v>271900</v>
      </c>
      <c r="K82" s="31">
        <f t="shared" si="11"/>
        <v>138500</v>
      </c>
      <c r="L82" s="31">
        <f t="shared" si="11"/>
        <v>138500</v>
      </c>
      <c r="M82" s="31">
        <f t="shared" si="11"/>
        <v>133400</v>
      </c>
      <c r="N82" s="31">
        <f t="shared" si="11"/>
        <v>61800</v>
      </c>
      <c r="O82" s="31">
        <f t="shared" si="11"/>
        <v>29000</v>
      </c>
      <c r="P82" s="31">
        <f t="shared" si="11"/>
        <v>138500</v>
      </c>
      <c r="Q82" s="46">
        <f t="shared" si="9"/>
        <v>18107000</v>
      </c>
    </row>
    <row r="83" spans="1:17" ht="31.5">
      <c r="A83" s="4" t="s">
        <v>147</v>
      </c>
      <c r="B83" s="28" t="s">
        <v>123</v>
      </c>
      <c r="C83" s="28" t="s">
        <v>33</v>
      </c>
      <c r="D83" s="36" t="s">
        <v>217</v>
      </c>
      <c r="E83" s="31">
        <f>741200+26200</f>
        <v>767400</v>
      </c>
      <c r="F83" s="31">
        <f>741200+26200</f>
        <v>767400</v>
      </c>
      <c r="G83" s="31">
        <f>606700+21500</f>
        <v>628200</v>
      </c>
      <c r="H83" s="31"/>
      <c r="I83" s="31"/>
      <c r="J83" s="31"/>
      <c r="K83" s="31"/>
      <c r="L83" s="31"/>
      <c r="M83" s="31"/>
      <c r="N83" s="31"/>
      <c r="O83" s="31"/>
      <c r="P83" s="31"/>
      <c r="Q83" s="46">
        <f t="shared" si="9"/>
        <v>767400</v>
      </c>
    </row>
    <row r="84" spans="1:17" ht="18.75">
      <c r="A84" s="4" t="s">
        <v>162</v>
      </c>
      <c r="B84" s="3">
        <v>1080</v>
      </c>
      <c r="C84" s="4" t="s">
        <v>57</v>
      </c>
      <c r="D84" s="36" t="s">
        <v>195</v>
      </c>
      <c r="E84" s="31">
        <f>2626900+175000+3600+63800</f>
        <v>2869300</v>
      </c>
      <c r="F84" s="31">
        <f>2626900+175000+3600+63800</f>
        <v>2869300</v>
      </c>
      <c r="G84" s="31">
        <f>1968700+57300</f>
        <v>2026000</v>
      </c>
      <c r="H84" s="31">
        <f>180000+(-23587.62)</f>
        <v>156412.38</v>
      </c>
      <c r="I84" s="31"/>
      <c r="J84" s="31">
        <v>80100</v>
      </c>
      <c r="K84" s="31"/>
      <c r="L84" s="31"/>
      <c r="M84" s="31">
        <v>80100</v>
      </c>
      <c r="N84" s="31">
        <v>61800</v>
      </c>
      <c r="O84" s="31"/>
      <c r="P84" s="31"/>
      <c r="Q84" s="46">
        <f t="shared" si="9"/>
        <v>2949400</v>
      </c>
    </row>
    <row r="85" spans="1:17" ht="18.75">
      <c r="A85" s="4" t="s">
        <v>89</v>
      </c>
      <c r="B85" s="3">
        <v>4030</v>
      </c>
      <c r="C85" s="4" t="s">
        <v>90</v>
      </c>
      <c r="D85" s="36" t="s">
        <v>91</v>
      </c>
      <c r="E85" s="31">
        <f>3684500+35000+229800+668700</f>
        <v>4618000</v>
      </c>
      <c r="F85" s="31">
        <f>3684500+35000+229800+668700</f>
        <v>4618000</v>
      </c>
      <c r="G85" s="31">
        <f>2655400+43000+427800</f>
        <v>3126200</v>
      </c>
      <c r="H85" s="31">
        <f>306200+(-30000)</f>
        <v>276200</v>
      </c>
      <c r="I85" s="31"/>
      <c r="J85" s="31">
        <f>1800+49900</f>
        <v>51700</v>
      </c>
      <c r="K85" s="31">
        <v>49900</v>
      </c>
      <c r="L85" s="31">
        <v>49900</v>
      </c>
      <c r="M85" s="31">
        <v>1800</v>
      </c>
      <c r="N85" s="31"/>
      <c r="O85" s="31"/>
      <c r="P85" s="31">
        <v>49900</v>
      </c>
      <c r="Q85" s="46">
        <f t="shared" si="9"/>
        <v>4669700</v>
      </c>
    </row>
    <row r="86" spans="1:17" ht="18.75">
      <c r="A86" s="4" t="s">
        <v>92</v>
      </c>
      <c r="B86" s="3">
        <v>4040</v>
      </c>
      <c r="C86" s="4" t="s">
        <v>90</v>
      </c>
      <c r="D86" s="36" t="s">
        <v>93</v>
      </c>
      <c r="E86" s="31">
        <f>688300+30000+3700+81700</f>
        <v>803700</v>
      </c>
      <c r="F86" s="31">
        <f>688300+30000+3700+81700</f>
        <v>803700</v>
      </c>
      <c r="G86" s="31">
        <f>540900+4700</f>
        <v>545600</v>
      </c>
      <c r="H86" s="31">
        <v>14200</v>
      </c>
      <c r="I86" s="31"/>
      <c r="J86" s="31">
        <v>1500</v>
      </c>
      <c r="K86" s="31"/>
      <c r="L86" s="31"/>
      <c r="M86" s="31">
        <v>1500</v>
      </c>
      <c r="N86" s="31"/>
      <c r="O86" s="31"/>
      <c r="P86" s="31"/>
      <c r="Q86" s="46">
        <f t="shared" si="9"/>
        <v>805200</v>
      </c>
    </row>
    <row r="87" spans="1:17" ht="31.5">
      <c r="A87" s="4" t="s">
        <v>94</v>
      </c>
      <c r="B87" s="3">
        <v>4060</v>
      </c>
      <c r="C87" s="4" t="s">
        <v>95</v>
      </c>
      <c r="D87" s="36" t="s">
        <v>96</v>
      </c>
      <c r="E87" s="31">
        <f>7122000+35000+278900+15000+777200+(-63600)+60000</f>
        <v>8224500</v>
      </c>
      <c r="F87" s="31">
        <f>7122000+35000+278900+15000+777200+(-63600)+60000</f>
        <v>8224500</v>
      </c>
      <c r="G87" s="31">
        <f>5048700+93000+623600</f>
        <v>5765300</v>
      </c>
      <c r="H87" s="31">
        <f>746500+(-100000)</f>
        <v>646500</v>
      </c>
      <c r="I87" s="31"/>
      <c r="J87" s="31">
        <f>50000+63600+25000</f>
        <v>138600</v>
      </c>
      <c r="K87" s="31">
        <f>63600+25000</f>
        <v>88600</v>
      </c>
      <c r="L87" s="31">
        <f>63600+25000</f>
        <v>88600</v>
      </c>
      <c r="M87" s="31">
        <v>50000</v>
      </c>
      <c r="N87" s="31"/>
      <c r="O87" s="31">
        <v>29000</v>
      </c>
      <c r="P87" s="31">
        <f>63600+25000</f>
        <v>88600</v>
      </c>
      <c r="Q87" s="46">
        <f t="shared" si="9"/>
        <v>8363100</v>
      </c>
    </row>
    <row r="88" spans="1:17" ht="31.5">
      <c r="A88" s="4" t="s">
        <v>97</v>
      </c>
      <c r="B88" s="3">
        <v>4081</v>
      </c>
      <c r="C88" s="4" t="s">
        <v>98</v>
      </c>
      <c r="D88" s="36" t="s">
        <v>99</v>
      </c>
      <c r="E88" s="31">
        <f>542500+9700</f>
        <v>552200</v>
      </c>
      <c r="F88" s="31">
        <f>542500+9700</f>
        <v>552200</v>
      </c>
      <c r="G88" s="31">
        <f>438100+7900</f>
        <v>446000</v>
      </c>
      <c r="H88" s="31"/>
      <c r="I88" s="31"/>
      <c r="J88" s="31"/>
      <c r="K88" s="31"/>
      <c r="L88" s="31"/>
      <c r="M88" s="31"/>
      <c r="N88" s="31"/>
      <c r="O88" s="31"/>
      <c r="P88" s="31"/>
      <c r="Q88" s="46">
        <f t="shared" si="9"/>
        <v>552200</v>
      </c>
    </row>
    <row r="89" spans="1:17" ht="18.75">
      <c r="A89" s="44" t="s">
        <v>154</v>
      </c>
      <c r="B89" s="4"/>
      <c r="C89" s="28"/>
      <c r="D89" s="37" t="s">
        <v>193</v>
      </c>
      <c r="E89" s="31">
        <f>E90</f>
        <v>6831622.22</v>
      </c>
      <c r="F89" s="31">
        <f>F90</f>
        <v>6831622.22</v>
      </c>
      <c r="G89" s="31">
        <f>G90</f>
        <v>3959700</v>
      </c>
      <c r="H89" s="31">
        <f>H90</f>
        <v>678822.22</v>
      </c>
      <c r="I89" s="31"/>
      <c r="J89" s="31"/>
      <c r="K89" s="31"/>
      <c r="L89" s="31"/>
      <c r="M89" s="31"/>
      <c r="N89" s="31"/>
      <c r="O89" s="31"/>
      <c r="P89" s="31"/>
      <c r="Q89" s="46">
        <f t="shared" si="9"/>
        <v>6831622.22</v>
      </c>
    </row>
    <row r="90" spans="1:17" ht="18.75">
      <c r="A90" s="4" t="s">
        <v>155</v>
      </c>
      <c r="B90" s="4"/>
      <c r="C90" s="28"/>
      <c r="D90" s="36" t="s">
        <v>193</v>
      </c>
      <c r="E90" s="31">
        <f>E91+E92+E93+E94</f>
        <v>6831622.22</v>
      </c>
      <c r="F90" s="31">
        <f>F91+F92+F93+F94</f>
        <v>6831622.22</v>
      </c>
      <c r="G90" s="31">
        <f>G91+G92+G93+G94</f>
        <v>3959700</v>
      </c>
      <c r="H90" s="31">
        <f>H91+H92+H93+H94</f>
        <v>678822.22</v>
      </c>
      <c r="I90" s="31"/>
      <c r="J90" s="31"/>
      <c r="K90" s="31"/>
      <c r="L90" s="31"/>
      <c r="M90" s="31"/>
      <c r="N90" s="31"/>
      <c r="O90" s="31"/>
      <c r="P90" s="31"/>
      <c r="Q90" s="46">
        <f t="shared" si="9"/>
        <v>6831622.22</v>
      </c>
    </row>
    <row r="91" spans="1:17" ht="31.5">
      <c r="A91" s="4" t="s">
        <v>148</v>
      </c>
      <c r="B91" s="28" t="s">
        <v>123</v>
      </c>
      <c r="C91" s="28" t="s">
        <v>33</v>
      </c>
      <c r="D91" s="36" t="s">
        <v>217</v>
      </c>
      <c r="E91" s="31">
        <v>856100</v>
      </c>
      <c r="F91" s="31">
        <v>856100</v>
      </c>
      <c r="G91" s="31">
        <v>695200</v>
      </c>
      <c r="H91" s="31"/>
      <c r="I91" s="31"/>
      <c r="J91" s="31"/>
      <c r="K91" s="31"/>
      <c r="L91" s="31"/>
      <c r="M91" s="31"/>
      <c r="N91" s="31"/>
      <c r="O91" s="31"/>
      <c r="P91" s="31"/>
      <c r="Q91" s="46">
        <f t="shared" si="9"/>
        <v>856100</v>
      </c>
    </row>
    <row r="92" spans="1:17" ht="31.5">
      <c r="A92" s="29">
        <v>1115011</v>
      </c>
      <c r="B92" s="3">
        <v>5011</v>
      </c>
      <c r="C92" s="4" t="s">
        <v>61</v>
      </c>
      <c r="D92" s="36" t="s">
        <v>62</v>
      </c>
      <c r="E92" s="31">
        <f>50000+70000+150000+64200+117000+200000</f>
        <v>651200</v>
      </c>
      <c r="F92" s="31">
        <f>50000+70000+150000+64200+117000+200000</f>
        <v>651200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6">
        <f t="shared" si="9"/>
        <v>651200</v>
      </c>
    </row>
    <row r="93" spans="1:17" ht="31.5">
      <c r="A93" s="29">
        <v>1115031</v>
      </c>
      <c r="B93" s="29">
        <v>5031</v>
      </c>
      <c r="C93" s="4" t="s">
        <v>61</v>
      </c>
      <c r="D93" s="36" t="s">
        <v>63</v>
      </c>
      <c r="E93" s="31">
        <f>4803700+4416.22+340000+70000+20406</f>
        <v>5238522.22</v>
      </c>
      <c r="F93" s="31">
        <f>4803700+4416.22+340000+70000+20406</f>
        <v>5238522.22</v>
      </c>
      <c r="G93" s="31">
        <v>3264500</v>
      </c>
      <c r="H93" s="31">
        <f>654000+4416.22+20406</f>
        <v>678822.22</v>
      </c>
      <c r="I93" s="31"/>
      <c r="J93" s="31"/>
      <c r="K93" s="31"/>
      <c r="L93" s="31"/>
      <c r="M93" s="31"/>
      <c r="N93" s="31"/>
      <c r="O93" s="31"/>
      <c r="P93" s="31"/>
      <c r="Q93" s="46">
        <f t="shared" si="9"/>
        <v>5238522.22</v>
      </c>
    </row>
    <row r="94" spans="1:17" ht="42" customHeight="1">
      <c r="A94" s="29">
        <v>1115062</v>
      </c>
      <c r="B94" s="29">
        <v>5062</v>
      </c>
      <c r="C94" s="4" t="s">
        <v>61</v>
      </c>
      <c r="D94" s="36" t="s">
        <v>64</v>
      </c>
      <c r="E94" s="31">
        <f>150000+(-64200)</f>
        <v>85800</v>
      </c>
      <c r="F94" s="31">
        <f>150000+(-64200)</f>
        <v>85800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6">
        <f t="shared" si="9"/>
        <v>85800</v>
      </c>
    </row>
    <row r="95" spans="1:17" ht="33.75" customHeight="1" hidden="1">
      <c r="A95" s="29"/>
      <c r="B95" s="29"/>
      <c r="C95" s="4"/>
      <c r="D95" s="36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6">
        <f t="shared" si="9"/>
        <v>0</v>
      </c>
    </row>
    <row r="96" spans="1:17" ht="18.75" hidden="1">
      <c r="A96" s="4"/>
      <c r="B96" s="3"/>
      <c r="C96" s="4"/>
      <c r="D96" s="36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6">
        <f t="shared" si="9"/>
        <v>0</v>
      </c>
    </row>
    <row r="97" spans="1:17" ht="31.5">
      <c r="A97" s="44" t="s">
        <v>208</v>
      </c>
      <c r="B97" s="3"/>
      <c r="C97" s="4"/>
      <c r="D97" s="37" t="s">
        <v>209</v>
      </c>
      <c r="E97" s="31">
        <f>E98</f>
        <v>22895542</v>
      </c>
      <c r="F97" s="31">
        <f aca="true" t="shared" si="12" ref="F97:P97">F98</f>
        <v>21895542</v>
      </c>
      <c r="G97" s="31">
        <f t="shared" si="12"/>
        <v>4694000</v>
      </c>
      <c r="H97" s="31">
        <f t="shared" si="12"/>
        <v>3254112</v>
      </c>
      <c r="I97" s="31">
        <f t="shared" si="12"/>
        <v>1000000</v>
      </c>
      <c r="J97" s="31">
        <f t="shared" si="12"/>
        <v>15173379.91</v>
      </c>
      <c r="K97" s="31">
        <f t="shared" si="12"/>
        <v>14795000</v>
      </c>
      <c r="L97" s="31">
        <f t="shared" si="12"/>
        <v>14795000</v>
      </c>
      <c r="M97" s="31">
        <f t="shared" si="12"/>
        <v>378379.91</v>
      </c>
      <c r="N97" s="31">
        <f t="shared" si="12"/>
        <v>0</v>
      </c>
      <c r="O97" s="31">
        <f t="shared" si="12"/>
        <v>0</v>
      </c>
      <c r="P97" s="31">
        <f t="shared" si="12"/>
        <v>14795000</v>
      </c>
      <c r="Q97" s="46">
        <f t="shared" si="9"/>
        <v>38068921.91</v>
      </c>
    </row>
    <row r="98" spans="1:17" ht="31.5">
      <c r="A98" s="4" t="s">
        <v>210</v>
      </c>
      <c r="B98" s="3"/>
      <c r="C98" s="4"/>
      <c r="D98" s="36" t="s">
        <v>211</v>
      </c>
      <c r="E98" s="31">
        <f>E99+E101+E102+E103+E104+E105+E106+E107+E108+E100</f>
        <v>22895542</v>
      </c>
      <c r="F98" s="31">
        <f>F99+F101+F102+F103+F104+F105+F106+F107+F108+F100</f>
        <v>21895542</v>
      </c>
      <c r="G98" s="31">
        <f>G99+G101+G102+G103+G104+G105+G106+G107+G108+G100</f>
        <v>4694000</v>
      </c>
      <c r="H98" s="31">
        <f aca="true" t="shared" si="13" ref="H98:P98">H99+H101+H102+H103+H104+H105+H106+H107+H108</f>
        <v>3254112</v>
      </c>
      <c r="I98" s="31">
        <f t="shared" si="13"/>
        <v>1000000</v>
      </c>
      <c r="J98" s="31">
        <f t="shared" si="13"/>
        <v>15173379.91</v>
      </c>
      <c r="K98" s="31">
        <f t="shared" si="13"/>
        <v>14795000</v>
      </c>
      <c r="L98" s="31">
        <f t="shared" si="13"/>
        <v>14795000</v>
      </c>
      <c r="M98" s="31">
        <f t="shared" si="13"/>
        <v>378379.91</v>
      </c>
      <c r="N98" s="31">
        <f t="shared" si="13"/>
        <v>0</v>
      </c>
      <c r="O98" s="31">
        <f t="shared" si="13"/>
        <v>0</v>
      </c>
      <c r="P98" s="31">
        <f t="shared" si="13"/>
        <v>14795000</v>
      </c>
      <c r="Q98" s="46">
        <f t="shared" si="9"/>
        <v>38068921.91</v>
      </c>
    </row>
    <row r="99" spans="1:17" ht="31.5">
      <c r="A99" s="4" t="s">
        <v>216</v>
      </c>
      <c r="B99" s="28" t="s">
        <v>123</v>
      </c>
      <c r="C99" s="28" t="s">
        <v>33</v>
      </c>
      <c r="D99" s="36" t="s">
        <v>217</v>
      </c>
      <c r="E99" s="46">
        <f>7951870+6009+168000+140833+200000</f>
        <v>8466712</v>
      </c>
      <c r="F99" s="46">
        <f>7951870+6009+168000+140833+200000</f>
        <v>8466712</v>
      </c>
      <c r="G99" s="46">
        <v>4612000</v>
      </c>
      <c r="H99" s="46">
        <f>1826870+6009+140833</f>
        <v>1973712</v>
      </c>
      <c r="I99" s="31"/>
      <c r="J99" s="31"/>
      <c r="K99" s="31"/>
      <c r="L99" s="31"/>
      <c r="M99" s="31"/>
      <c r="N99" s="31"/>
      <c r="O99" s="31"/>
      <c r="P99" s="31"/>
      <c r="Q99" s="46">
        <f t="shared" si="9"/>
        <v>8466712</v>
      </c>
    </row>
    <row r="100" spans="1:17" ht="18.75">
      <c r="A100" s="4" t="s">
        <v>317</v>
      </c>
      <c r="B100" s="28" t="s">
        <v>318</v>
      </c>
      <c r="C100" s="28" t="s">
        <v>320</v>
      </c>
      <c r="D100" s="36" t="s">
        <v>319</v>
      </c>
      <c r="E100" s="46">
        <f>50000+50000</f>
        <v>100000</v>
      </c>
      <c r="F100" s="46">
        <f>50000+50000</f>
        <v>100000</v>
      </c>
      <c r="G100" s="46">
        <f>41000+41000</f>
        <v>82000</v>
      </c>
      <c r="H100" s="46"/>
      <c r="I100" s="31"/>
      <c r="J100" s="31"/>
      <c r="K100" s="31"/>
      <c r="L100" s="31"/>
      <c r="M100" s="31"/>
      <c r="N100" s="31"/>
      <c r="O100" s="31"/>
      <c r="P100" s="31"/>
      <c r="Q100" s="46">
        <f t="shared" si="9"/>
        <v>100000</v>
      </c>
    </row>
    <row r="101" spans="1:17" ht="18.75">
      <c r="A101" s="4" t="s">
        <v>243</v>
      </c>
      <c r="B101" s="29">
        <v>6011</v>
      </c>
      <c r="C101" s="28" t="s">
        <v>241</v>
      </c>
      <c r="D101" s="36" t="s">
        <v>242</v>
      </c>
      <c r="E101" s="31">
        <f>100000+100000</f>
        <v>200000</v>
      </c>
      <c r="F101" s="31">
        <f>100000+100000</f>
        <v>200000</v>
      </c>
      <c r="G101" s="31"/>
      <c r="H101" s="31"/>
      <c r="I101" s="31"/>
      <c r="J101" s="31">
        <v>5000000</v>
      </c>
      <c r="K101" s="31">
        <v>5000000</v>
      </c>
      <c r="L101" s="31">
        <v>5000000</v>
      </c>
      <c r="M101" s="31"/>
      <c r="N101" s="31"/>
      <c r="O101" s="31"/>
      <c r="P101" s="31">
        <v>5000000</v>
      </c>
      <c r="Q101" s="46">
        <f t="shared" si="9"/>
        <v>5200000</v>
      </c>
    </row>
    <row r="102" spans="1:17" ht="18.75">
      <c r="A102" s="4" t="s">
        <v>212</v>
      </c>
      <c r="B102" s="29">
        <v>6030</v>
      </c>
      <c r="C102" s="4" t="s">
        <v>135</v>
      </c>
      <c r="D102" s="36" t="s">
        <v>134</v>
      </c>
      <c r="E102" s="31">
        <f>3645430+2098400+185000+200000+2000000+200000</f>
        <v>8328830</v>
      </c>
      <c r="F102" s="31">
        <f>3645430+2098400+185000+200000+2000000+200000</f>
        <v>8328830</v>
      </c>
      <c r="G102" s="31"/>
      <c r="H102" s="31">
        <f>1945000+98400+(-763000)</f>
        <v>1280400</v>
      </c>
      <c r="I102" s="31"/>
      <c r="J102" s="31"/>
      <c r="K102" s="31"/>
      <c r="L102" s="31"/>
      <c r="M102" s="31"/>
      <c r="N102" s="31"/>
      <c r="O102" s="31"/>
      <c r="P102" s="31"/>
      <c r="Q102" s="46">
        <f t="shared" si="9"/>
        <v>8328830</v>
      </c>
    </row>
    <row r="103" spans="1:17" ht="18.75" hidden="1">
      <c r="A103" s="4"/>
      <c r="B103" s="29"/>
      <c r="C103" s="4"/>
      <c r="D103" s="36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6">
        <f t="shared" si="9"/>
        <v>0</v>
      </c>
    </row>
    <row r="104" spans="1:17" ht="18.75">
      <c r="A104" s="4" t="s">
        <v>302</v>
      </c>
      <c r="B104" s="29">
        <v>7330</v>
      </c>
      <c r="C104" s="4" t="s">
        <v>291</v>
      </c>
      <c r="D104" s="36" t="s">
        <v>292</v>
      </c>
      <c r="E104" s="31"/>
      <c r="F104" s="31"/>
      <c r="G104" s="31"/>
      <c r="H104" s="31"/>
      <c r="I104" s="31"/>
      <c r="J104" s="31">
        <v>8045000</v>
      </c>
      <c r="K104" s="31">
        <v>8045000</v>
      </c>
      <c r="L104" s="31">
        <v>8045000</v>
      </c>
      <c r="M104" s="31"/>
      <c r="N104" s="31"/>
      <c r="O104" s="31"/>
      <c r="P104" s="31">
        <v>8045000</v>
      </c>
      <c r="Q104" s="46">
        <f t="shared" si="9"/>
        <v>8045000</v>
      </c>
    </row>
    <row r="105" spans="1:17" ht="31.5">
      <c r="A105" s="4" t="s">
        <v>213</v>
      </c>
      <c r="B105" s="29">
        <v>7461</v>
      </c>
      <c r="C105" s="4" t="s">
        <v>136</v>
      </c>
      <c r="D105" s="36" t="s">
        <v>142</v>
      </c>
      <c r="E105" s="31">
        <f>1500000+3100000+1000000</f>
        <v>5600000</v>
      </c>
      <c r="F105" s="31">
        <f>1500000+3100000</f>
        <v>4600000</v>
      </c>
      <c r="G105" s="31"/>
      <c r="H105" s="31"/>
      <c r="I105" s="31">
        <v>1000000</v>
      </c>
      <c r="J105" s="31"/>
      <c r="K105" s="31"/>
      <c r="L105" s="31"/>
      <c r="M105" s="31"/>
      <c r="N105" s="31"/>
      <c r="O105" s="31"/>
      <c r="P105" s="31"/>
      <c r="Q105" s="46">
        <f t="shared" si="9"/>
        <v>5600000</v>
      </c>
    </row>
    <row r="106" spans="1:17" ht="18.75">
      <c r="A106" s="4" t="s">
        <v>303</v>
      </c>
      <c r="B106" s="29">
        <v>7670</v>
      </c>
      <c r="C106" s="4" t="s">
        <v>289</v>
      </c>
      <c r="D106" s="36" t="s">
        <v>304</v>
      </c>
      <c r="E106" s="31"/>
      <c r="F106" s="31"/>
      <c r="G106" s="31"/>
      <c r="H106" s="31"/>
      <c r="I106" s="31"/>
      <c r="J106" s="31">
        <v>1500000</v>
      </c>
      <c r="K106" s="31">
        <v>1500000</v>
      </c>
      <c r="L106" s="31">
        <v>1500000</v>
      </c>
      <c r="M106" s="31"/>
      <c r="N106" s="31"/>
      <c r="O106" s="31"/>
      <c r="P106" s="31">
        <v>1500000</v>
      </c>
      <c r="Q106" s="46">
        <f t="shared" si="9"/>
        <v>1500000</v>
      </c>
    </row>
    <row r="107" spans="1:17" ht="18.75">
      <c r="A107" s="4" t="s">
        <v>305</v>
      </c>
      <c r="B107" s="29">
        <v>7693</v>
      </c>
      <c r="C107" s="4" t="s">
        <v>289</v>
      </c>
      <c r="D107" s="36" t="s">
        <v>306</v>
      </c>
      <c r="E107" s="31">
        <v>200000</v>
      </c>
      <c r="F107" s="31">
        <v>200000</v>
      </c>
      <c r="G107" s="31"/>
      <c r="H107" s="31"/>
      <c r="I107" s="31"/>
      <c r="J107" s="31">
        <v>250000</v>
      </c>
      <c r="K107" s="31">
        <v>250000</v>
      </c>
      <c r="L107" s="31">
        <v>250000</v>
      </c>
      <c r="M107" s="31"/>
      <c r="N107" s="31"/>
      <c r="O107" s="31"/>
      <c r="P107" s="31">
        <v>250000</v>
      </c>
      <c r="Q107" s="46">
        <f t="shared" si="9"/>
        <v>450000</v>
      </c>
    </row>
    <row r="108" spans="1:17" ht="18.75">
      <c r="A108" s="4" t="s">
        <v>214</v>
      </c>
      <c r="B108" s="3">
        <v>8340</v>
      </c>
      <c r="C108" s="4" t="s">
        <v>141</v>
      </c>
      <c r="D108" s="36" t="s">
        <v>140</v>
      </c>
      <c r="E108" s="31"/>
      <c r="F108" s="31"/>
      <c r="G108" s="31"/>
      <c r="H108" s="31"/>
      <c r="I108" s="31"/>
      <c r="J108" s="31">
        <f>60000+318379.91</f>
        <v>378379.91</v>
      </c>
      <c r="K108" s="31"/>
      <c r="L108" s="31"/>
      <c r="M108" s="31">
        <f>60000+318379.91</f>
        <v>378379.91</v>
      </c>
      <c r="N108" s="31"/>
      <c r="O108" s="31"/>
      <c r="P108" s="31"/>
      <c r="Q108" s="46">
        <f t="shared" si="9"/>
        <v>378379.91</v>
      </c>
    </row>
    <row r="109" spans="1:17" ht="18.75">
      <c r="A109" s="30">
        <v>3700000</v>
      </c>
      <c r="B109" s="29"/>
      <c r="C109" s="28"/>
      <c r="D109" s="37" t="s">
        <v>194</v>
      </c>
      <c r="E109" s="31">
        <f>E110</f>
        <v>2067400</v>
      </c>
      <c r="F109" s="31">
        <f>F110</f>
        <v>1917400</v>
      </c>
      <c r="G109" s="31">
        <f>G110</f>
        <v>1391700</v>
      </c>
      <c r="H109" s="31">
        <f>H110</f>
        <v>600</v>
      </c>
      <c r="I109" s="31"/>
      <c r="J109" s="31">
        <f>J110</f>
        <v>50000</v>
      </c>
      <c r="K109" s="31">
        <f>K110</f>
        <v>50000</v>
      </c>
      <c r="L109" s="31">
        <f>L110</f>
        <v>50000</v>
      </c>
      <c r="M109" s="31"/>
      <c r="N109" s="31"/>
      <c r="O109" s="31"/>
      <c r="P109" s="31">
        <f>P110</f>
        <v>50000</v>
      </c>
      <c r="Q109" s="46">
        <f t="shared" si="9"/>
        <v>2117400</v>
      </c>
    </row>
    <row r="110" spans="1:17" ht="18.75">
      <c r="A110" s="30">
        <v>3710000</v>
      </c>
      <c r="B110" s="29"/>
      <c r="C110" s="28"/>
      <c r="D110" s="36" t="s">
        <v>194</v>
      </c>
      <c r="E110" s="31">
        <f>E111+E112+E113</f>
        <v>2067400</v>
      </c>
      <c r="F110" s="31">
        <f>F111+F112+F113</f>
        <v>1917400</v>
      </c>
      <c r="G110" s="31">
        <f>G111+G112+G113</f>
        <v>1391700</v>
      </c>
      <c r="H110" s="31">
        <f>H111+H112+H113</f>
        <v>600</v>
      </c>
      <c r="I110" s="31"/>
      <c r="J110" s="31">
        <f>J111+J112+J113</f>
        <v>50000</v>
      </c>
      <c r="K110" s="31">
        <f>K111+K112+K113</f>
        <v>50000</v>
      </c>
      <c r="L110" s="31">
        <f>L111+L112+L113</f>
        <v>50000</v>
      </c>
      <c r="M110" s="31"/>
      <c r="N110" s="31"/>
      <c r="O110" s="31"/>
      <c r="P110" s="31">
        <f>P111+P112+P113</f>
        <v>50000</v>
      </c>
      <c r="Q110" s="46">
        <f t="shared" si="9"/>
        <v>2117400</v>
      </c>
    </row>
    <row r="111" spans="1:17" ht="39.75" customHeight="1">
      <c r="A111" s="29">
        <v>3710160</v>
      </c>
      <c r="B111" s="28" t="s">
        <v>123</v>
      </c>
      <c r="C111" s="28" t="s">
        <v>33</v>
      </c>
      <c r="D111" s="36" t="s">
        <v>217</v>
      </c>
      <c r="E111" s="31">
        <f>1737400+20000</f>
        <v>1757400</v>
      </c>
      <c r="F111" s="31">
        <f>1737400+20000</f>
        <v>1757400</v>
      </c>
      <c r="G111" s="31">
        <f>1301700+90000</f>
        <v>1391700</v>
      </c>
      <c r="H111" s="31">
        <f>90600+(-90000)</f>
        <v>600</v>
      </c>
      <c r="I111" s="31"/>
      <c r="J111" s="31"/>
      <c r="K111" s="31"/>
      <c r="L111" s="31"/>
      <c r="M111" s="31"/>
      <c r="N111" s="31"/>
      <c r="O111" s="31"/>
      <c r="P111" s="31"/>
      <c r="Q111" s="46">
        <f t="shared" si="9"/>
        <v>1757400</v>
      </c>
    </row>
    <row r="112" spans="1:17" ht="18.75">
      <c r="A112" s="29">
        <v>3718710</v>
      </c>
      <c r="B112" s="29">
        <v>8710</v>
      </c>
      <c r="C112" s="28" t="s">
        <v>37</v>
      </c>
      <c r="D112" s="36" t="s">
        <v>177</v>
      </c>
      <c r="E112" s="31">
        <v>150000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6">
        <f t="shared" si="9"/>
        <v>150000</v>
      </c>
    </row>
    <row r="113" spans="1:17" ht="18.75">
      <c r="A113" s="29">
        <v>3719770</v>
      </c>
      <c r="B113" s="29">
        <v>9770</v>
      </c>
      <c r="C113" s="28" t="s">
        <v>36</v>
      </c>
      <c r="D113" s="36" t="s">
        <v>476</v>
      </c>
      <c r="E113" s="31">
        <f>160000</f>
        <v>160000</v>
      </c>
      <c r="F113" s="31">
        <f>160000</f>
        <v>160000</v>
      </c>
      <c r="G113" s="31"/>
      <c r="H113" s="31"/>
      <c r="I113" s="31"/>
      <c r="J113" s="31">
        <v>50000</v>
      </c>
      <c r="K113" s="31">
        <v>50000</v>
      </c>
      <c r="L113" s="31">
        <v>50000</v>
      </c>
      <c r="M113" s="31"/>
      <c r="N113" s="31"/>
      <c r="O113" s="31"/>
      <c r="P113" s="31">
        <v>50000</v>
      </c>
      <c r="Q113" s="46">
        <f t="shared" si="9"/>
        <v>210000</v>
      </c>
    </row>
    <row r="114" spans="1:17" ht="18.75">
      <c r="A114" s="29"/>
      <c r="B114" s="29"/>
      <c r="C114" s="28"/>
      <c r="D114" s="48" t="s">
        <v>100</v>
      </c>
      <c r="E114" s="187">
        <f>E18+E36+E67+E81+E89+E97+E109</f>
        <v>289790359.22</v>
      </c>
      <c r="F114" s="187">
        <f aca="true" t="shared" si="14" ref="F114:P114">F18+F36+F67+F81+F89+F97+F109</f>
        <v>288640359.22</v>
      </c>
      <c r="G114" s="187">
        <f t="shared" si="14"/>
        <v>177428855</v>
      </c>
      <c r="H114" s="187">
        <f t="shared" si="14"/>
        <v>19364683.6</v>
      </c>
      <c r="I114" s="187">
        <f t="shared" si="14"/>
        <v>1000000</v>
      </c>
      <c r="J114" s="187">
        <f t="shared" si="14"/>
        <v>22813428.7</v>
      </c>
      <c r="K114" s="187">
        <f t="shared" si="14"/>
        <v>20376084.5</v>
      </c>
      <c r="L114" s="187">
        <f t="shared" si="14"/>
        <v>18056664.5</v>
      </c>
      <c r="M114" s="187">
        <f t="shared" si="14"/>
        <v>2437344.2</v>
      </c>
      <c r="N114" s="187">
        <f t="shared" si="14"/>
        <v>91800</v>
      </c>
      <c r="O114" s="187">
        <f t="shared" si="14"/>
        <v>102500</v>
      </c>
      <c r="P114" s="187">
        <f t="shared" si="14"/>
        <v>20376084.5</v>
      </c>
      <c r="Q114" s="191">
        <f>E114+J114</f>
        <v>312603787.92</v>
      </c>
    </row>
    <row r="115" spans="8:9" ht="18.75">
      <c r="H115" s="50"/>
      <c r="I115" s="50"/>
    </row>
    <row r="116" spans="4:12" ht="18.75">
      <c r="D116" s="67" t="s">
        <v>256</v>
      </c>
      <c r="E116" s="67"/>
      <c r="F116" s="67"/>
      <c r="G116" s="68"/>
      <c r="H116" s="68" t="s">
        <v>196</v>
      </c>
      <c r="I116" s="51"/>
      <c r="J116" s="51"/>
      <c r="K116" s="188"/>
      <c r="L116" s="51"/>
    </row>
    <row r="117" spans="4:8" ht="18.75" hidden="1">
      <c r="D117" s="67"/>
      <c r="E117" s="67"/>
      <c r="F117" s="67"/>
      <c r="G117" s="67"/>
      <c r="H117" s="67"/>
    </row>
    <row r="118" spans="5:17" ht="18.75" hidden="1">
      <c r="E118" s="49"/>
      <c r="J118" s="49"/>
      <c r="Q118" s="49"/>
    </row>
    <row r="119" spans="1:17" ht="18.75" hidden="1">
      <c r="A119" s="40">
        <v>1</v>
      </c>
      <c r="E119" s="40">
        <f>E20+E22+E38+E69+E83+E91+E99+E111</f>
        <v>40325162</v>
      </c>
      <c r="J119" s="40">
        <f>J20+J22+J38+J69+J83+J91+J99+J111</f>
        <v>0</v>
      </c>
      <c r="Q119" s="40">
        <f>E119+J119</f>
        <v>40325162</v>
      </c>
    </row>
    <row r="120" spans="1:17" ht="18.75" hidden="1">
      <c r="A120" s="40">
        <v>1000</v>
      </c>
      <c r="E120" s="40">
        <f>E39+E40+E44+E46+E50+E51+E58+E61+E84</f>
        <v>179610767</v>
      </c>
      <c r="J120" s="40">
        <f>J39+J40+J44+J46+J50+J51+J58+J61+J84</f>
        <v>2591100</v>
      </c>
      <c r="Q120" s="40">
        <f aca="true" t="shared" si="15" ref="Q120:Q128">E120+J120</f>
        <v>182201867</v>
      </c>
    </row>
    <row r="121" spans="1:17" ht="18.75" hidden="1">
      <c r="A121" s="40">
        <v>2000</v>
      </c>
      <c r="E121" s="40">
        <f>E23+E25</f>
        <v>15090700</v>
      </c>
      <c r="J121" s="40">
        <f>J23+J25</f>
        <v>1047700</v>
      </c>
      <c r="Q121" s="40">
        <f t="shared" si="15"/>
        <v>16138400</v>
      </c>
    </row>
    <row r="122" spans="1:17" ht="18.75" hidden="1">
      <c r="A122" s="40">
        <v>3000</v>
      </c>
      <c r="E122" s="40">
        <f>E28+E70+E71+E72+E73+E74+E75+E76+E77+E78+E80+E101</f>
        <v>14202480</v>
      </c>
      <c r="J122" s="40">
        <f>J28+J70+J71+J72+J73+J74+J75+J76+J77+J78+J80+J101</f>
        <v>5375000</v>
      </c>
      <c r="Q122" s="40">
        <f t="shared" si="15"/>
        <v>19577480</v>
      </c>
    </row>
    <row r="123" spans="1:17" ht="18.75" hidden="1">
      <c r="A123" s="40">
        <v>4000</v>
      </c>
      <c r="E123" s="40">
        <f>E85+E86+E87+E88</f>
        <v>14198400</v>
      </c>
      <c r="J123" s="40">
        <f>J85+J86+J87+J88</f>
        <v>191800</v>
      </c>
      <c r="Q123" s="40">
        <f t="shared" si="15"/>
        <v>14390200</v>
      </c>
    </row>
    <row r="124" spans="1:17" ht="18.75" hidden="1">
      <c r="A124" s="40">
        <v>5000</v>
      </c>
      <c r="E124" s="40">
        <f>E92+E93+E94</f>
        <v>5975522.22</v>
      </c>
      <c r="J124" s="40">
        <f>J92+J93+J94</f>
        <v>0</v>
      </c>
      <c r="Q124" s="40">
        <f t="shared" si="15"/>
        <v>5975522.22</v>
      </c>
    </row>
    <row r="125" spans="1:17" ht="18.75" hidden="1">
      <c r="A125" s="40">
        <v>6000</v>
      </c>
      <c r="E125" s="40">
        <f>E102</f>
        <v>8328830</v>
      </c>
      <c r="J125" s="40">
        <f>J102</f>
        <v>0</v>
      </c>
      <c r="Q125" s="40">
        <f t="shared" si="15"/>
        <v>8328830</v>
      </c>
    </row>
    <row r="126" spans="1:17" ht="18.75" hidden="1">
      <c r="A126" s="40">
        <v>7000</v>
      </c>
      <c r="E126" s="40" t="e">
        <f>E29+#REF!+#REF!+E105</f>
        <v>#REF!</v>
      </c>
      <c r="J126" s="40" t="e">
        <f>J29+#REF!+#REF!+J105</f>
        <v>#REF!</v>
      </c>
      <c r="Q126" s="40" t="e">
        <f t="shared" si="15"/>
        <v>#REF!</v>
      </c>
    </row>
    <row r="127" spans="1:17" ht="18.75" hidden="1">
      <c r="A127" s="40">
        <v>8000</v>
      </c>
      <c r="E127" s="40">
        <f>E31+E32+E108+E112</f>
        <v>1261800</v>
      </c>
      <c r="J127" s="40">
        <f>J31+J32+J108+J112</f>
        <v>418379.91</v>
      </c>
      <c r="Q127" s="40">
        <f t="shared" si="15"/>
        <v>1680179.91</v>
      </c>
    </row>
    <row r="128" spans="5:17" ht="18.75" hidden="1">
      <c r="E128" s="40" t="e">
        <f>SUM(E119:E127)</f>
        <v>#REF!</v>
      </c>
      <c r="J128" s="40" t="e">
        <f>SUM(J119:J127)</f>
        <v>#REF!</v>
      </c>
      <c r="Q128" s="40" t="e">
        <f t="shared" si="15"/>
        <v>#REF!</v>
      </c>
    </row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</sheetData>
  <sheetProtection/>
  <mergeCells count="20">
    <mergeCell ref="L15:L16"/>
    <mergeCell ref="A5:Q5"/>
    <mergeCell ref="A6:Q6"/>
    <mergeCell ref="M15:M16"/>
    <mergeCell ref="N15:O15"/>
    <mergeCell ref="P15:P16"/>
    <mergeCell ref="A13:A16"/>
    <mergeCell ref="D13:D16"/>
    <mergeCell ref="B13:B16"/>
    <mergeCell ref="C13:C16"/>
    <mergeCell ref="N2:Q2"/>
    <mergeCell ref="E13:I14"/>
    <mergeCell ref="J13:P14"/>
    <mergeCell ref="Q13:Q16"/>
    <mergeCell ref="E15:E16"/>
    <mergeCell ref="F15:F16"/>
    <mergeCell ref="G15:H15"/>
    <mergeCell ref="I15:I16"/>
    <mergeCell ref="J15:J16"/>
    <mergeCell ref="K15:K16"/>
  </mergeCells>
  <printOptions/>
  <pageMargins left="0.2" right="0.2" top="0.21" bottom="0.2" header="0.2" footer="0.2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workbookViewId="0" topLeftCell="B54">
      <selection activeCell="B54" sqref="A1:IV16384"/>
    </sheetView>
  </sheetViews>
  <sheetFormatPr defaultColWidth="9.00390625" defaultRowHeight="12.75"/>
  <cols>
    <col min="1" max="1" width="22.875" style="40" customWidth="1"/>
    <col min="2" max="2" width="35.00390625" style="40" customWidth="1"/>
    <col min="3" max="3" width="64.00390625" style="40" customWidth="1"/>
    <col min="4" max="4" width="41.25390625" style="40" customWidth="1"/>
    <col min="5" max="5" width="11.875" style="40" customWidth="1"/>
    <col min="6" max="16384" width="9.125" style="40" customWidth="1"/>
  </cols>
  <sheetData>
    <row r="1" ht="35.25" customHeight="1">
      <c r="D1" s="40" t="s">
        <v>440</v>
      </c>
    </row>
    <row r="2" spans="3:4" ht="113.25" customHeight="1">
      <c r="C2" s="230"/>
      <c r="D2" s="230" t="s">
        <v>475</v>
      </c>
    </row>
    <row r="3" ht="18.75">
      <c r="B3" s="231"/>
    </row>
    <row r="4" ht="18.75">
      <c r="B4" s="231"/>
    </row>
    <row r="5" spans="1:4" ht="18.75">
      <c r="A5" s="272" t="s">
        <v>441</v>
      </c>
      <c r="B5" s="280"/>
      <c r="C5" s="280"/>
      <c r="D5" s="280"/>
    </row>
    <row r="6" spans="1:4" ht="18.75">
      <c r="A6" s="260" t="s">
        <v>442</v>
      </c>
      <c r="B6" s="280"/>
      <c r="C6" s="280"/>
      <c r="D6" s="280"/>
    </row>
    <row r="7" spans="1:4" ht="18.75">
      <c r="A7" s="280" t="s">
        <v>104</v>
      </c>
      <c r="B7" s="280"/>
      <c r="C7" s="280"/>
      <c r="D7" s="280"/>
    </row>
    <row r="8" ht="18.75">
      <c r="A8" s="184" t="s">
        <v>443</v>
      </c>
    </row>
    <row r="9" ht="18.75">
      <c r="D9" s="232" t="s">
        <v>120</v>
      </c>
    </row>
    <row r="10" spans="1:4" ht="78.75" customHeight="1">
      <c r="A10" s="41" t="s">
        <v>444</v>
      </c>
      <c r="B10" s="261" t="s">
        <v>445</v>
      </c>
      <c r="C10" s="262"/>
      <c r="D10" s="41" t="s">
        <v>18</v>
      </c>
    </row>
    <row r="11" spans="1:4" ht="18.75">
      <c r="A11" s="41">
        <v>1</v>
      </c>
      <c r="B11" s="261">
        <v>2</v>
      </c>
      <c r="C11" s="262"/>
      <c r="D11" s="41">
        <v>3</v>
      </c>
    </row>
    <row r="12" spans="1:4" ht="18.75">
      <c r="A12" s="263" t="s">
        <v>446</v>
      </c>
      <c r="B12" s="263"/>
      <c r="C12" s="263"/>
      <c r="D12" s="263"/>
    </row>
    <row r="13" spans="1:4" ht="18.75">
      <c r="A13" s="233" t="s">
        <v>447</v>
      </c>
      <c r="B13" s="234" t="s">
        <v>448</v>
      </c>
      <c r="C13" s="235"/>
      <c r="D13" s="236">
        <f>D14</f>
        <v>77154700</v>
      </c>
    </row>
    <row r="14" spans="1:4" ht="18.75">
      <c r="A14" s="237" t="s">
        <v>449</v>
      </c>
      <c r="B14" s="238" t="s">
        <v>450</v>
      </c>
      <c r="C14" s="239"/>
      <c r="D14" s="240">
        <v>77154700</v>
      </c>
    </row>
    <row r="15" spans="1:4" ht="37.5" customHeight="1" hidden="1">
      <c r="A15" s="241">
        <v>41040400</v>
      </c>
      <c r="B15" s="264" t="s">
        <v>451</v>
      </c>
      <c r="C15" s="265"/>
      <c r="D15" s="236">
        <f>D16</f>
        <v>0</v>
      </c>
    </row>
    <row r="16" spans="1:4" ht="18.75" hidden="1">
      <c r="A16" s="237" t="s">
        <v>452</v>
      </c>
      <c r="B16" s="238" t="s">
        <v>453</v>
      </c>
      <c r="C16" s="239"/>
      <c r="D16" s="242"/>
    </row>
    <row r="17" spans="1:4" ht="18.75">
      <c r="A17" s="241">
        <v>41040400</v>
      </c>
      <c r="B17" s="264" t="s">
        <v>451</v>
      </c>
      <c r="C17" s="265"/>
      <c r="D17" s="236">
        <f>D18</f>
        <v>187618</v>
      </c>
    </row>
    <row r="18" spans="1:4" ht="18.75">
      <c r="A18" s="237" t="s">
        <v>452</v>
      </c>
      <c r="B18" s="238" t="s">
        <v>453</v>
      </c>
      <c r="C18" s="239"/>
      <c r="D18" s="242">
        <v>187618</v>
      </c>
    </row>
    <row r="19" spans="1:4" ht="37.5">
      <c r="A19" s="233" t="s">
        <v>454</v>
      </c>
      <c r="B19" s="234" t="s">
        <v>108</v>
      </c>
      <c r="C19" s="235"/>
      <c r="D19" s="236">
        <f>D20</f>
        <v>1089700</v>
      </c>
    </row>
    <row r="20" spans="1:4" ht="18.75">
      <c r="A20" s="237" t="s">
        <v>452</v>
      </c>
      <c r="B20" s="238" t="s">
        <v>453</v>
      </c>
      <c r="C20" s="239"/>
      <c r="D20" s="240">
        <v>1089700</v>
      </c>
    </row>
    <row r="21" spans="1:4" ht="56.25">
      <c r="A21" s="233" t="s">
        <v>455</v>
      </c>
      <c r="B21" s="234" t="s">
        <v>109</v>
      </c>
      <c r="C21" s="235"/>
      <c r="D21" s="236">
        <f>D22</f>
        <v>270400</v>
      </c>
    </row>
    <row r="22" spans="1:4" ht="18.75">
      <c r="A22" s="237" t="s">
        <v>452</v>
      </c>
      <c r="B22" s="238" t="s">
        <v>453</v>
      </c>
      <c r="C22" s="239"/>
      <c r="D22" s="240">
        <v>270400</v>
      </c>
    </row>
    <row r="23" spans="1:4" ht="72" customHeight="1">
      <c r="A23" s="243">
        <v>41051700</v>
      </c>
      <c r="B23" s="266" t="s">
        <v>283</v>
      </c>
      <c r="C23" s="288"/>
      <c r="D23" s="236">
        <f>D24</f>
        <v>262128</v>
      </c>
    </row>
    <row r="24" spans="1:4" ht="18.75">
      <c r="A24" s="237" t="s">
        <v>452</v>
      </c>
      <c r="B24" s="238" t="s">
        <v>453</v>
      </c>
      <c r="C24" s="239"/>
      <c r="D24" s="240">
        <f>153700+108428</f>
        <v>262128</v>
      </c>
    </row>
    <row r="25" spans="1:4" ht="18.75">
      <c r="A25" s="263" t="s">
        <v>456</v>
      </c>
      <c r="B25" s="263"/>
      <c r="C25" s="263"/>
      <c r="D25" s="263"/>
    </row>
    <row r="26" spans="1:4" ht="18.75" hidden="1">
      <c r="A26" s="233"/>
      <c r="B26" s="234"/>
      <c r="C26" s="235"/>
      <c r="D26" s="236" t="s">
        <v>457</v>
      </c>
    </row>
    <row r="27" spans="1:4" ht="18.75" hidden="1">
      <c r="A27" s="237"/>
      <c r="B27" s="238"/>
      <c r="C27" s="239"/>
      <c r="D27" s="240"/>
    </row>
    <row r="28" spans="1:4" ht="18.75" hidden="1">
      <c r="A28" s="233"/>
      <c r="B28" s="234"/>
      <c r="C28" s="235"/>
      <c r="D28" s="236"/>
    </row>
    <row r="29" spans="1:4" ht="18.75" hidden="1">
      <c r="A29" s="237"/>
      <c r="B29" s="238"/>
      <c r="C29" s="239"/>
      <c r="D29" s="240"/>
    </row>
    <row r="30" spans="1:4" ht="18.75" hidden="1">
      <c r="A30" s="233"/>
      <c r="B30" s="234"/>
      <c r="C30" s="235"/>
      <c r="D30" s="236"/>
    </row>
    <row r="31" spans="1:4" ht="18.75" hidden="1">
      <c r="A31" s="237"/>
      <c r="B31" s="238"/>
      <c r="C31" s="239"/>
      <c r="D31" s="240"/>
    </row>
    <row r="32" spans="1:4" ht="18.75">
      <c r="A32" s="243" t="s">
        <v>115</v>
      </c>
      <c r="B32" s="244" t="s">
        <v>458</v>
      </c>
      <c r="C32" s="235"/>
      <c r="D32" s="245">
        <f>D33+D34</f>
        <v>78964546</v>
      </c>
    </row>
    <row r="33" spans="1:4" ht="18.75">
      <c r="A33" s="243" t="s">
        <v>115</v>
      </c>
      <c r="B33" s="244" t="s">
        <v>459</v>
      </c>
      <c r="C33" s="235"/>
      <c r="D33" s="245">
        <f>D15+D13+D17+D19+D21+D23</f>
        <v>78964546</v>
      </c>
    </row>
    <row r="34" spans="1:4" ht="18.75">
      <c r="A34" s="243" t="s">
        <v>115</v>
      </c>
      <c r="B34" s="244" t="s">
        <v>460</v>
      </c>
      <c r="C34" s="235"/>
      <c r="D34" s="245"/>
    </row>
    <row r="36" spans="1:4" ht="18.75">
      <c r="A36" s="184" t="s">
        <v>461</v>
      </c>
      <c r="D36" s="232" t="s">
        <v>462</v>
      </c>
    </row>
    <row r="37" spans="1:4" ht="144" customHeight="1">
      <c r="A37" s="41" t="s">
        <v>463</v>
      </c>
      <c r="B37" s="41" t="s">
        <v>464</v>
      </c>
      <c r="C37" s="41" t="s">
        <v>465</v>
      </c>
      <c r="D37" s="41" t="s">
        <v>18</v>
      </c>
    </row>
    <row r="38" spans="1:4" ht="18.75">
      <c r="A38" s="41">
        <v>1</v>
      </c>
      <c r="B38" s="41">
        <v>2</v>
      </c>
      <c r="C38" s="41">
        <v>3</v>
      </c>
      <c r="D38" s="41">
        <v>4</v>
      </c>
    </row>
    <row r="39" spans="1:4" ht="18.75">
      <c r="A39" s="263" t="s">
        <v>466</v>
      </c>
      <c r="B39" s="263"/>
      <c r="C39" s="263"/>
      <c r="D39" s="263"/>
    </row>
    <row r="40" spans="1:4" ht="18.75" hidden="1">
      <c r="A40" s="246"/>
      <c r="B40" s="246"/>
      <c r="C40" s="247"/>
      <c r="D40" s="236"/>
    </row>
    <row r="41" spans="1:4" ht="18.75" hidden="1">
      <c r="A41" s="248"/>
      <c r="B41" s="248"/>
      <c r="C41" s="249"/>
      <c r="D41" s="240"/>
    </row>
    <row r="42" spans="1:4" ht="37.5">
      <c r="A42" s="248">
        <v>3719770</v>
      </c>
      <c r="B42" s="246">
        <v>9770</v>
      </c>
      <c r="C42" s="198" t="s">
        <v>433</v>
      </c>
      <c r="D42" s="236">
        <f>D43</f>
        <v>160000</v>
      </c>
    </row>
    <row r="43" spans="1:4" ht="18.75">
      <c r="A43" s="237" t="s">
        <v>452</v>
      </c>
      <c r="B43" s="256">
        <v>9770</v>
      </c>
      <c r="C43" s="255" t="s">
        <v>453</v>
      </c>
      <c r="D43" s="240">
        <f>D45</f>
        <v>160000</v>
      </c>
    </row>
    <row r="44" spans="1:4" ht="18.75">
      <c r="A44" s="257"/>
      <c r="C44" s="194" t="s">
        <v>467</v>
      </c>
      <c r="D44" s="240"/>
    </row>
    <row r="45" spans="1:4" ht="93.75">
      <c r="A45" s="248"/>
      <c r="B45" s="248"/>
      <c r="C45" s="253" t="s">
        <v>479</v>
      </c>
      <c r="D45" s="240">
        <v>160000</v>
      </c>
    </row>
    <row r="46" spans="1:4" ht="18.75" hidden="1">
      <c r="A46" s="248"/>
      <c r="B46" s="248"/>
      <c r="C46" s="250"/>
      <c r="D46" s="240"/>
    </row>
    <row r="47" spans="1:4" ht="56.25">
      <c r="A47" s="233" t="s">
        <v>295</v>
      </c>
      <c r="B47" s="233" t="s">
        <v>296</v>
      </c>
      <c r="C47" s="254" t="s">
        <v>297</v>
      </c>
      <c r="D47" s="236">
        <f>D48</f>
        <v>3023900</v>
      </c>
    </row>
    <row r="48" spans="1:4" ht="18.75">
      <c r="A48" s="237" t="s">
        <v>449</v>
      </c>
      <c r="B48" s="237" t="s">
        <v>296</v>
      </c>
      <c r="C48" s="253" t="s">
        <v>450</v>
      </c>
      <c r="D48" s="240">
        <f>D50+D51+D52+D53+D54+D55+D56+D57</f>
        <v>3023900</v>
      </c>
    </row>
    <row r="49" spans="1:4" ht="18.75">
      <c r="A49" s="237"/>
      <c r="B49" s="237"/>
      <c r="C49" s="253" t="s">
        <v>467</v>
      </c>
      <c r="D49" s="240"/>
    </row>
    <row r="50" spans="1:4" ht="56.25">
      <c r="A50" s="237"/>
      <c r="B50" s="237"/>
      <c r="C50" s="253" t="s">
        <v>477</v>
      </c>
      <c r="D50" s="240">
        <v>70000</v>
      </c>
    </row>
    <row r="51" spans="1:4" ht="45.75" customHeight="1">
      <c r="A51" s="237"/>
      <c r="B51" s="237"/>
      <c r="C51" s="6" t="s">
        <v>468</v>
      </c>
      <c r="D51" s="240">
        <f>70000+30000</f>
        <v>100000</v>
      </c>
    </row>
    <row r="52" spans="1:4" ht="63.75" customHeight="1">
      <c r="A52" s="237"/>
      <c r="B52" s="237"/>
      <c r="C52" s="6" t="s">
        <v>469</v>
      </c>
      <c r="D52" s="240">
        <f>150000</f>
        <v>150000</v>
      </c>
    </row>
    <row r="53" spans="1:4" ht="51" customHeight="1">
      <c r="A53" s="237"/>
      <c r="B53" s="237"/>
      <c r="C53" s="6" t="s">
        <v>470</v>
      </c>
      <c r="D53" s="240">
        <f>1552400+700000+(-100000)</f>
        <v>2152400</v>
      </c>
    </row>
    <row r="54" spans="1:4" ht="108.75" customHeight="1">
      <c r="A54" s="237"/>
      <c r="B54" s="237"/>
      <c r="C54" s="6" t="s">
        <v>471</v>
      </c>
      <c r="D54" s="240">
        <v>300000</v>
      </c>
    </row>
    <row r="55" spans="1:4" ht="35.25" customHeight="1">
      <c r="A55" s="237"/>
      <c r="B55" s="237"/>
      <c r="C55" s="250" t="s">
        <v>472</v>
      </c>
      <c r="D55" s="240">
        <f>150000</f>
        <v>150000</v>
      </c>
    </row>
    <row r="56" spans="1:4" ht="57.75" customHeight="1">
      <c r="A56" s="237"/>
      <c r="B56" s="237"/>
      <c r="C56" s="6" t="s">
        <v>3</v>
      </c>
      <c r="D56" s="240">
        <v>91500</v>
      </c>
    </row>
    <row r="57" spans="1:4" ht="81" customHeight="1">
      <c r="A57" s="237"/>
      <c r="B57" s="237"/>
      <c r="C57" s="6" t="s">
        <v>9</v>
      </c>
      <c r="D57" s="240">
        <v>10000</v>
      </c>
    </row>
    <row r="58" spans="1:4" ht="18.75">
      <c r="A58" s="263" t="s">
        <v>473</v>
      </c>
      <c r="B58" s="263"/>
      <c r="C58" s="263"/>
      <c r="D58" s="263"/>
    </row>
    <row r="59" spans="1:4" ht="18.75" hidden="1">
      <c r="A59" s="233"/>
      <c r="B59" s="233"/>
      <c r="C59" s="251"/>
      <c r="D59" s="236"/>
    </row>
    <row r="60" spans="1:4" ht="18.75" hidden="1">
      <c r="A60" s="237"/>
      <c r="B60" s="237"/>
      <c r="C60" s="229"/>
      <c r="D60" s="240"/>
    </row>
    <row r="61" spans="1:4" ht="18.75" hidden="1">
      <c r="A61" s="237"/>
      <c r="B61" s="237"/>
      <c r="C61" s="229"/>
      <c r="D61" s="240"/>
    </row>
    <row r="62" spans="1:4" ht="78.75" customHeight="1" hidden="1">
      <c r="A62" s="237"/>
      <c r="B62" s="237"/>
      <c r="C62" s="6"/>
      <c r="D62" s="240"/>
    </row>
    <row r="63" spans="1:4" ht="36" customHeight="1">
      <c r="A63" s="233">
        <v>3719770</v>
      </c>
      <c r="B63" s="246">
        <v>9770</v>
      </c>
      <c r="C63" s="198" t="s">
        <v>433</v>
      </c>
      <c r="D63" s="240">
        <v>50000</v>
      </c>
    </row>
    <row r="64" spans="1:4" ht="45" customHeight="1">
      <c r="A64" s="237">
        <v>2153600000</v>
      </c>
      <c r="B64" s="256">
        <v>9770</v>
      </c>
      <c r="C64" s="255" t="s">
        <v>6</v>
      </c>
      <c r="D64" s="240">
        <v>50000</v>
      </c>
    </row>
    <row r="65" spans="1:4" ht="32.25" customHeight="1" hidden="1">
      <c r="A65" s="237"/>
      <c r="B65" s="183"/>
      <c r="C65" s="194"/>
      <c r="D65" s="240"/>
    </row>
    <row r="66" spans="1:4" ht="29.25" customHeight="1" hidden="1">
      <c r="A66" s="237"/>
      <c r="B66" s="237"/>
      <c r="C66" s="250"/>
      <c r="D66" s="240"/>
    </row>
    <row r="67" spans="1:4" ht="71.25" customHeight="1">
      <c r="A67" s="233" t="s">
        <v>295</v>
      </c>
      <c r="B67" s="233" t="s">
        <v>296</v>
      </c>
      <c r="C67" s="197" t="s">
        <v>297</v>
      </c>
      <c r="D67" s="236">
        <f>D68</f>
        <v>1139900</v>
      </c>
    </row>
    <row r="68" spans="1:4" ht="31.5" customHeight="1">
      <c r="A68" s="237" t="s">
        <v>449</v>
      </c>
      <c r="B68" s="237" t="s">
        <v>296</v>
      </c>
      <c r="C68" s="229" t="s">
        <v>450</v>
      </c>
      <c r="D68" s="240">
        <f>D71+D72</f>
        <v>1139900</v>
      </c>
    </row>
    <row r="69" spans="1:4" ht="22.5" customHeight="1">
      <c r="A69" s="237"/>
      <c r="B69" s="237"/>
      <c r="C69" s="194" t="s">
        <v>467</v>
      </c>
      <c r="D69" s="240"/>
    </row>
    <row r="70" spans="1:4" ht="78.75" customHeight="1" hidden="1">
      <c r="A70" s="237"/>
      <c r="B70" s="237"/>
      <c r="C70" s="250"/>
      <c r="D70" s="240"/>
    </row>
    <row r="71" spans="1:4" ht="51" customHeight="1">
      <c r="A71" s="237"/>
      <c r="B71" s="237"/>
      <c r="C71" s="6" t="s">
        <v>470</v>
      </c>
      <c r="D71" s="240">
        <f>447600+192300+100000+200000+100000</f>
        <v>1039900</v>
      </c>
    </row>
    <row r="72" spans="1:4" ht="78" customHeight="1">
      <c r="A72" s="237"/>
      <c r="B72" s="237"/>
      <c r="C72" s="6" t="s">
        <v>469</v>
      </c>
      <c r="D72" s="240">
        <f>50000+50000</f>
        <v>100000</v>
      </c>
    </row>
    <row r="73" spans="1:4" ht="18.75">
      <c r="A73" s="233" t="s">
        <v>115</v>
      </c>
      <c r="B73" s="233" t="s">
        <v>115</v>
      </c>
      <c r="C73" s="185" t="s">
        <v>458</v>
      </c>
      <c r="D73" s="245">
        <f>D74+D75</f>
        <v>4373800</v>
      </c>
    </row>
    <row r="74" spans="1:4" ht="18.75">
      <c r="A74" s="233" t="s">
        <v>115</v>
      </c>
      <c r="B74" s="233" t="s">
        <v>115</v>
      </c>
      <c r="C74" s="185" t="s">
        <v>459</v>
      </c>
      <c r="D74" s="245">
        <f>D47+D42</f>
        <v>3183900</v>
      </c>
    </row>
    <row r="75" spans="1:4" ht="18.75">
      <c r="A75" s="233" t="s">
        <v>115</v>
      </c>
      <c r="B75" s="233" t="s">
        <v>115</v>
      </c>
      <c r="C75" s="185" t="s">
        <v>460</v>
      </c>
      <c r="D75" s="245">
        <f>D67+D63</f>
        <v>1189900</v>
      </c>
    </row>
    <row r="77" spans="1:5" ht="18.75">
      <c r="A77" s="67" t="s">
        <v>474</v>
      </c>
      <c r="B77" s="67"/>
      <c r="C77" s="67"/>
      <c r="D77" s="68"/>
      <c r="E77" s="252"/>
    </row>
  </sheetData>
  <mergeCells count="12">
    <mergeCell ref="A25:D25"/>
    <mergeCell ref="A39:D39"/>
    <mergeCell ref="A58:D58"/>
    <mergeCell ref="B11:C11"/>
    <mergeCell ref="A12:D12"/>
    <mergeCell ref="B15:C15"/>
    <mergeCell ref="B23:C23"/>
    <mergeCell ref="B17:C17"/>
    <mergeCell ref="A5:D5"/>
    <mergeCell ref="A6:D6"/>
    <mergeCell ref="A7:D7"/>
    <mergeCell ref="B10:C10"/>
  </mergeCells>
  <printOptions/>
  <pageMargins left="0.75" right="0.75" top="0.22" bottom="0.44" header="0.2" footer="0.5"/>
  <pageSetup fitToHeight="2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1"/>
  <sheetViews>
    <sheetView workbookViewId="0" topLeftCell="G149">
      <selection activeCell="G151" sqref="G151"/>
    </sheetView>
  </sheetViews>
  <sheetFormatPr defaultColWidth="7.875" defaultRowHeight="12.75"/>
  <cols>
    <col min="1" max="1" width="7.875" style="1" customWidth="1"/>
    <col min="2" max="2" width="14.25390625" style="1" customWidth="1"/>
    <col min="3" max="3" width="12.25390625" style="1" customWidth="1"/>
    <col min="4" max="4" width="12.625" style="1" customWidth="1"/>
    <col min="5" max="5" width="43.875" style="1" customWidth="1"/>
    <col min="6" max="6" width="30.375" style="1" customWidth="1"/>
    <col min="7" max="7" width="19.625" style="1" customWidth="1"/>
    <col min="8" max="8" width="17.875" style="1" customWidth="1"/>
    <col min="9" max="9" width="19.875" style="1" customWidth="1"/>
    <col min="10" max="10" width="18.625" style="1" customWidth="1"/>
    <col min="11" max="11" width="19.25390625" style="1" customWidth="1"/>
    <col min="12" max="12" width="15.00390625" style="9" customWidth="1"/>
    <col min="13" max="16384" width="7.875" style="9" customWidth="1"/>
  </cols>
  <sheetData>
    <row r="1" ht="15" customHeight="1"/>
    <row r="2" spans="1:10" s="8" customFormat="1" ht="21" customHeight="1">
      <c r="A2" s="7"/>
      <c r="B2" s="26"/>
      <c r="C2" s="26"/>
      <c r="D2" s="26"/>
      <c r="E2" s="26"/>
      <c r="F2" s="26"/>
      <c r="J2" s="8" t="s">
        <v>124</v>
      </c>
    </row>
    <row r="3" spans="7:11" ht="78" customHeight="1">
      <c r="G3" s="103"/>
      <c r="H3" s="103"/>
      <c r="I3" s="103"/>
      <c r="J3" s="292" t="s">
        <v>437</v>
      </c>
      <c r="K3" s="292"/>
    </row>
    <row r="4" spans="2:11" ht="61.5" customHeight="1">
      <c r="B4" s="320" t="s">
        <v>244</v>
      </c>
      <c r="C4" s="321"/>
      <c r="D4" s="321"/>
      <c r="E4" s="321"/>
      <c r="F4" s="321"/>
      <c r="G4" s="321"/>
      <c r="H4" s="321"/>
      <c r="I4" s="321"/>
      <c r="J4" s="321"/>
      <c r="K4" s="321"/>
    </row>
    <row r="5" spans="2:11" ht="21.75" customHeight="1">
      <c r="B5" s="56">
        <v>11542000000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" t="s">
        <v>104</v>
      </c>
      <c r="C6" s="10"/>
      <c r="D6" s="10"/>
      <c r="E6" s="10"/>
      <c r="F6" s="10"/>
      <c r="G6" s="10"/>
      <c r="H6" s="10"/>
      <c r="I6" s="55"/>
      <c r="J6" s="10"/>
      <c r="K6" s="10"/>
    </row>
    <row r="7" spans="2:11" ht="18.75">
      <c r="B7" s="11"/>
      <c r="C7" s="12"/>
      <c r="D7" s="12"/>
      <c r="E7" s="12"/>
      <c r="F7" s="13"/>
      <c r="G7" s="13"/>
      <c r="H7" s="13"/>
      <c r="I7" s="14"/>
      <c r="J7" s="15"/>
      <c r="K7" s="5" t="s">
        <v>120</v>
      </c>
    </row>
    <row r="8" spans="1:11" ht="84" customHeight="1">
      <c r="A8" s="2"/>
      <c r="B8" s="316" t="s">
        <v>116</v>
      </c>
      <c r="C8" s="316" t="s">
        <v>117</v>
      </c>
      <c r="D8" s="316" t="s">
        <v>23</v>
      </c>
      <c r="E8" s="316" t="s">
        <v>118</v>
      </c>
      <c r="F8" s="314" t="s">
        <v>112</v>
      </c>
      <c r="G8" s="314" t="s">
        <v>119</v>
      </c>
      <c r="H8" s="314" t="s">
        <v>18</v>
      </c>
      <c r="I8" s="316" t="s">
        <v>19</v>
      </c>
      <c r="J8" s="318" t="s">
        <v>20</v>
      </c>
      <c r="K8" s="319"/>
    </row>
    <row r="9" spans="1:11" ht="91.5" customHeight="1">
      <c r="A9" s="2"/>
      <c r="B9" s="317"/>
      <c r="C9" s="317"/>
      <c r="D9" s="317"/>
      <c r="E9" s="317"/>
      <c r="F9" s="315"/>
      <c r="G9" s="315"/>
      <c r="H9" s="315"/>
      <c r="I9" s="317"/>
      <c r="J9" s="57" t="s">
        <v>21</v>
      </c>
      <c r="K9" s="57" t="s">
        <v>22</v>
      </c>
    </row>
    <row r="10" spans="1:19" s="18" customFormat="1" ht="15.75">
      <c r="A10" s="16"/>
      <c r="B10" s="58" t="s">
        <v>29</v>
      </c>
      <c r="C10" s="58"/>
      <c r="D10" s="72"/>
      <c r="E10" s="59" t="s">
        <v>197</v>
      </c>
      <c r="F10" s="35"/>
      <c r="G10" s="73"/>
      <c r="H10" s="101">
        <f aca="true" t="shared" si="0" ref="H10:H29">I10+J10</f>
        <v>47560264.29</v>
      </c>
      <c r="I10" s="102">
        <f>I11</f>
        <v>45397100</v>
      </c>
      <c r="J10" s="102">
        <f>J11</f>
        <v>2163164.29</v>
      </c>
      <c r="K10" s="102">
        <f>K11</f>
        <v>2137600</v>
      </c>
      <c r="L10" s="103"/>
      <c r="M10" s="17"/>
      <c r="N10" s="17"/>
      <c r="O10" s="17"/>
      <c r="P10" s="17"/>
      <c r="Q10" s="17"/>
      <c r="R10" s="17"/>
      <c r="S10" s="17"/>
    </row>
    <row r="11" spans="2:20" ht="15.75">
      <c r="B11" s="33" t="s">
        <v>30</v>
      </c>
      <c r="C11" s="33"/>
      <c r="D11" s="74"/>
      <c r="E11" s="27" t="s">
        <v>197</v>
      </c>
      <c r="F11" s="34"/>
      <c r="G11" s="73"/>
      <c r="H11" s="104">
        <f t="shared" si="0"/>
        <v>47560264.29</v>
      </c>
      <c r="I11" s="105">
        <f>I13+I16+I20+I23+I25+I27+I29+I40+I42+I45+I49+I51+I53+I61+I55+I57+I59</f>
        <v>45397100</v>
      </c>
      <c r="J11" s="105">
        <f>J13+J16+J20+J23+J25+J27+J29+J40+J42+J45+J49+J51+J53+J61+J55+J57</f>
        <v>2163164.29</v>
      </c>
      <c r="K11" s="105">
        <f>K13+K16+K20+K23+K25+K27+K29+K40+K42+K45+K49+K51+K53+K61+K55+K57</f>
        <v>2137600</v>
      </c>
      <c r="L11" s="106"/>
      <c r="M11" s="17"/>
      <c r="N11" s="17"/>
      <c r="O11" s="17"/>
      <c r="P11" s="17"/>
      <c r="Q11" s="17"/>
      <c r="R11" s="17"/>
      <c r="S11" s="17"/>
      <c r="T11" s="17"/>
    </row>
    <row r="12" spans="2:19" ht="82.5" customHeight="1">
      <c r="B12" s="19" t="s">
        <v>126</v>
      </c>
      <c r="C12" s="34">
        <v>2010</v>
      </c>
      <c r="D12" s="19" t="s">
        <v>39</v>
      </c>
      <c r="E12" s="27" t="s">
        <v>40</v>
      </c>
      <c r="F12" s="75" t="s">
        <v>183</v>
      </c>
      <c r="G12" s="54" t="s">
        <v>323</v>
      </c>
      <c r="H12" s="104">
        <f t="shared" si="0"/>
        <v>11718600</v>
      </c>
      <c r="I12" s="104">
        <f>8316900+95000+600000+50000+24000+90000+1000000+102000+90000+198000+70000+25000+100000</f>
        <v>10760900</v>
      </c>
      <c r="J12" s="104">
        <f>200000+380000+277700+100000</f>
        <v>957700</v>
      </c>
      <c r="K12" s="104">
        <f>200000+380000+277700+100000</f>
        <v>957700</v>
      </c>
      <c r="L12" s="103"/>
      <c r="M12" s="17"/>
      <c r="N12" s="17"/>
      <c r="O12" s="17"/>
      <c r="P12" s="17"/>
      <c r="Q12" s="17"/>
      <c r="R12" s="17"/>
      <c r="S12" s="17"/>
    </row>
    <row r="13" spans="2:19" ht="15.75">
      <c r="B13" s="289" t="s">
        <v>113</v>
      </c>
      <c r="C13" s="290"/>
      <c r="D13" s="290"/>
      <c r="E13" s="290"/>
      <c r="F13" s="291"/>
      <c r="G13" s="76"/>
      <c r="H13" s="101">
        <f t="shared" si="0"/>
        <v>11718600</v>
      </c>
      <c r="I13" s="102">
        <f>I12</f>
        <v>10760900</v>
      </c>
      <c r="J13" s="102">
        <f>J12</f>
        <v>957700</v>
      </c>
      <c r="K13" s="102">
        <f>K12</f>
        <v>957700</v>
      </c>
      <c r="L13" s="103"/>
      <c r="M13" s="17"/>
      <c r="N13" s="17"/>
      <c r="O13" s="17"/>
      <c r="P13" s="17"/>
      <c r="Q13" s="17"/>
      <c r="R13" s="17"/>
      <c r="S13" s="17"/>
    </row>
    <row r="14" spans="2:19" ht="47.25" customHeight="1">
      <c r="B14" s="19" t="s">
        <v>126</v>
      </c>
      <c r="C14" s="34">
        <v>2010</v>
      </c>
      <c r="D14" s="19" t="s">
        <v>39</v>
      </c>
      <c r="E14" s="27" t="s">
        <v>40</v>
      </c>
      <c r="F14" s="307" t="s">
        <v>180</v>
      </c>
      <c r="G14" s="309" t="s">
        <v>181</v>
      </c>
      <c r="H14" s="104">
        <f t="shared" si="0"/>
        <v>5000</v>
      </c>
      <c r="I14" s="105">
        <v>5000</v>
      </c>
      <c r="J14" s="107">
        <v>0</v>
      </c>
      <c r="K14" s="107">
        <v>0</v>
      </c>
      <c r="L14" s="103"/>
      <c r="M14" s="17"/>
      <c r="N14" s="17"/>
      <c r="O14" s="17"/>
      <c r="P14" s="17"/>
      <c r="Q14" s="17"/>
      <c r="R14" s="17"/>
      <c r="S14" s="17"/>
    </row>
    <row r="15" spans="2:19" ht="57.75" customHeight="1">
      <c r="B15" s="19" t="s">
        <v>125</v>
      </c>
      <c r="C15" s="19" t="s">
        <v>41</v>
      </c>
      <c r="D15" s="19" t="s">
        <v>42</v>
      </c>
      <c r="E15" s="27" t="s">
        <v>43</v>
      </c>
      <c r="F15" s="308"/>
      <c r="G15" s="310"/>
      <c r="H15" s="104">
        <f t="shared" si="0"/>
        <v>108200</v>
      </c>
      <c r="I15" s="105">
        <v>108200</v>
      </c>
      <c r="J15" s="107">
        <v>0</v>
      </c>
      <c r="K15" s="107">
        <v>0</v>
      </c>
      <c r="L15" s="103"/>
      <c r="M15" s="17"/>
      <c r="N15" s="17"/>
      <c r="O15" s="17"/>
      <c r="P15" s="17"/>
      <c r="Q15" s="17"/>
      <c r="R15" s="17"/>
      <c r="S15" s="17"/>
    </row>
    <row r="16" spans="2:19" ht="15.75">
      <c r="B16" s="289" t="s">
        <v>113</v>
      </c>
      <c r="C16" s="290"/>
      <c r="D16" s="290"/>
      <c r="E16" s="290"/>
      <c r="F16" s="291"/>
      <c r="G16" s="60"/>
      <c r="H16" s="101">
        <f t="shared" si="0"/>
        <v>113200</v>
      </c>
      <c r="I16" s="102">
        <f>I14+I15</f>
        <v>113200</v>
      </c>
      <c r="J16" s="102">
        <f>J14+J15</f>
        <v>0</v>
      </c>
      <c r="K16" s="102">
        <f>K14+K15</f>
        <v>0</v>
      </c>
      <c r="L16" s="103"/>
      <c r="M16" s="17"/>
      <c r="N16" s="17"/>
      <c r="O16" s="17"/>
      <c r="P16" s="17"/>
      <c r="Q16" s="17"/>
      <c r="R16" s="17"/>
      <c r="S16" s="17"/>
    </row>
    <row r="17" spans="2:19" ht="31.5" customHeight="1">
      <c r="B17" s="19" t="s">
        <v>128</v>
      </c>
      <c r="C17" s="27">
        <v>3242</v>
      </c>
      <c r="D17" s="27">
        <v>1090</v>
      </c>
      <c r="E17" s="27" t="s">
        <v>49</v>
      </c>
      <c r="F17" s="311" t="s">
        <v>184</v>
      </c>
      <c r="G17" s="296" t="s">
        <v>235</v>
      </c>
      <c r="H17" s="104">
        <f t="shared" si="0"/>
        <v>115200</v>
      </c>
      <c r="I17" s="105">
        <f>62400+52800</f>
        <v>115200</v>
      </c>
      <c r="J17" s="107">
        <v>0</v>
      </c>
      <c r="K17" s="107">
        <v>0</v>
      </c>
      <c r="L17" s="103"/>
      <c r="M17" s="17"/>
      <c r="N17" s="17"/>
      <c r="O17" s="17"/>
      <c r="P17" s="17"/>
      <c r="Q17" s="17"/>
      <c r="R17" s="17"/>
      <c r="S17" s="17"/>
    </row>
    <row r="18" spans="2:19" ht="47.25" customHeight="1">
      <c r="B18" s="19" t="s">
        <v>126</v>
      </c>
      <c r="C18" s="34">
        <v>2010</v>
      </c>
      <c r="D18" s="19" t="s">
        <v>39</v>
      </c>
      <c r="E18" s="27" t="s">
        <v>40</v>
      </c>
      <c r="F18" s="312"/>
      <c r="G18" s="297"/>
      <c r="H18" s="104">
        <f t="shared" si="0"/>
        <v>52800</v>
      </c>
      <c r="I18" s="105">
        <v>52800</v>
      </c>
      <c r="J18" s="107">
        <v>0</v>
      </c>
      <c r="K18" s="107">
        <v>0</v>
      </c>
      <c r="L18" s="103"/>
      <c r="M18" s="17"/>
      <c r="N18" s="17"/>
      <c r="O18" s="17"/>
      <c r="P18" s="17"/>
      <c r="Q18" s="17"/>
      <c r="R18" s="17"/>
      <c r="S18" s="17"/>
    </row>
    <row r="19" spans="2:19" ht="69.75" customHeight="1" hidden="1">
      <c r="B19" s="77" t="s">
        <v>114</v>
      </c>
      <c r="C19" s="77"/>
      <c r="D19" s="78"/>
      <c r="E19" s="27"/>
      <c r="F19" s="313"/>
      <c r="G19" s="298"/>
      <c r="H19" s="104"/>
      <c r="I19" s="104"/>
      <c r="J19" s="104"/>
      <c r="K19" s="104"/>
      <c r="L19" s="103"/>
      <c r="M19" s="17"/>
      <c r="N19" s="17"/>
      <c r="O19" s="17"/>
      <c r="P19" s="17"/>
      <c r="Q19" s="17"/>
      <c r="R19" s="17"/>
      <c r="S19" s="17"/>
    </row>
    <row r="20" spans="2:19" ht="15.75">
      <c r="B20" s="300" t="s">
        <v>113</v>
      </c>
      <c r="C20" s="301"/>
      <c r="D20" s="301"/>
      <c r="E20" s="301"/>
      <c r="F20" s="302"/>
      <c r="G20" s="60"/>
      <c r="H20" s="101">
        <f t="shared" si="0"/>
        <v>168000</v>
      </c>
      <c r="I20" s="102">
        <f>I17+I18</f>
        <v>168000</v>
      </c>
      <c r="J20" s="102">
        <f>J17+J18</f>
        <v>0</v>
      </c>
      <c r="K20" s="102">
        <f>K17+K18</f>
        <v>0</v>
      </c>
      <c r="L20" s="103"/>
      <c r="M20" s="17"/>
      <c r="N20" s="17"/>
      <c r="O20" s="17"/>
      <c r="P20" s="17"/>
      <c r="Q20" s="17"/>
      <c r="R20" s="17"/>
      <c r="S20" s="17"/>
    </row>
    <row r="21" spans="2:19" ht="31.5">
      <c r="B21" s="19" t="s">
        <v>126</v>
      </c>
      <c r="C21" s="27">
        <v>2010</v>
      </c>
      <c r="D21" s="79" t="s">
        <v>39</v>
      </c>
      <c r="E21" s="27" t="s">
        <v>40</v>
      </c>
      <c r="F21" s="307" t="s">
        <v>182</v>
      </c>
      <c r="G21" s="307" t="s">
        <v>236</v>
      </c>
      <c r="H21" s="104">
        <f t="shared" si="0"/>
        <v>105000</v>
      </c>
      <c r="I21" s="105">
        <f>5000+100000</f>
        <v>105000</v>
      </c>
      <c r="J21" s="107">
        <v>0</v>
      </c>
      <c r="K21" s="107">
        <v>0</v>
      </c>
      <c r="L21" s="103"/>
      <c r="M21" s="17"/>
      <c r="N21" s="17"/>
      <c r="O21" s="17"/>
      <c r="P21" s="17"/>
      <c r="Q21" s="17"/>
      <c r="R21" s="17"/>
      <c r="S21" s="17"/>
    </row>
    <row r="22" spans="2:19" ht="62.25" customHeight="1">
      <c r="B22" s="19" t="s">
        <v>125</v>
      </c>
      <c r="C22" s="79" t="s">
        <v>41</v>
      </c>
      <c r="D22" s="79" t="s">
        <v>42</v>
      </c>
      <c r="E22" s="27" t="s">
        <v>43</v>
      </c>
      <c r="F22" s="308"/>
      <c r="G22" s="308"/>
      <c r="H22" s="104">
        <f t="shared" si="0"/>
        <v>15000</v>
      </c>
      <c r="I22" s="105">
        <v>15000</v>
      </c>
      <c r="J22" s="107">
        <v>0</v>
      </c>
      <c r="K22" s="107">
        <v>0</v>
      </c>
      <c r="L22" s="103"/>
      <c r="M22" s="17"/>
      <c r="N22" s="17"/>
      <c r="O22" s="17"/>
      <c r="P22" s="17"/>
      <c r="Q22" s="17"/>
      <c r="R22" s="17"/>
      <c r="S22" s="17"/>
    </row>
    <row r="23" spans="2:19" ht="28.5" customHeight="1">
      <c r="B23" s="289" t="s">
        <v>113</v>
      </c>
      <c r="C23" s="290"/>
      <c r="D23" s="290"/>
      <c r="E23" s="290"/>
      <c r="F23" s="291"/>
      <c r="G23" s="60"/>
      <c r="H23" s="101">
        <f t="shared" si="0"/>
        <v>120000</v>
      </c>
      <c r="I23" s="108">
        <f>I21+I22</f>
        <v>120000</v>
      </c>
      <c r="J23" s="108">
        <f>J21+J22</f>
        <v>0</v>
      </c>
      <c r="K23" s="108">
        <f>K21+K22</f>
        <v>0</v>
      </c>
      <c r="L23" s="103"/>
      <c r="M23" s="17"/>
      <c r="N23" s="17"/>
      <c r="O23" s="17"/>
      <c r="P23" s="17"/>
      <c r="Q23" s="17"/>
      <c r="R23" s="17"/>
      <c r="S23" s="17"/>
    </row>
    <row r="24" spans="2:19" ht="195" customHeight="1">
      <c r="B24" s="19" t="s">
        <v>125</v>
      </c>
      <c r="C24" s="79" t="s">
        <v>41</v>
      </c>
      <c r="D24" s="79" t="s">
        <v>42</v>
      </c>
      <c r="E24" s="27" t="s">
        <v>43</v>
      </c>
      <c r="F24" s="259" t="s">
        <v>246</v>
      </c>
      <c r="G24" s="54" t="s">
        <v>483</v>
      </c>
      <c r="H24" s="104">
        <f t="shared" si="0"/>
        <v>4068800</v>
      </c>
      <c r="I24" s="105">
        <f>2088800+1000000+80000+900000</f>
        <v>4068800</v>
      </c>
      <c r="J24" s="107">
        <v>0</v>
      </c>
      <c r="K24" s="107">
        <v>0</v>
      </c>
      <c r="L24" s="103"/>
      <c r="M24" s="17"/>
      <c r="N24" s="17"/>
      <c r="O24" s="17"/>
      <c r="P24" s="17"/>
      <c r="Q24" s="17"/>
      <c r="R24" s="17"/>
      <c r="S24" s="17"/>
    </row>
    <row r="25" spans="2:19" ht="15.75">
      <c r="B25" s="300" t="s">
        <v>113</v>
      </c>
      <c r="C25" s="301"/>
      <c r="D25" s="301"/>
      <c r="E25" s="301"/>
      <c r="F25" s="302"/>
      <c r="G25" s="52"/>
      <c r="H25" s="101">
        <f t="shared" si="0"/>
        <v>4068800</v>
      </c>
      <c r="I25" s="108">
        <f>I24</f>
        <v>4068800</v>
      </c>
      <c r="J25" s="108">
        <f>J24</f>
        <v>0</v>
      </c>
      <c r="K25" s="108">
        <f>K24</f>
        <v>0</v>
      </c>
      <c r="L25" s="103"/>
      <c r="M25" s="17"/>
      <c r="N25" s="17"/>
      <c r="O25" s="17"/>
      <c r="P25" s="17"/>
      <c r="Q25" s="17"/>
      <c r="R25" s="17"/>
      <c r="S25" s="17"/>
    </row>
    <row r="26" spans="2:19" ht="96.75" customHeight="1">
      <c r="B26" s="19" t="s">
        <v>126</v>
      </c>
      <c r="C26" s="27">
        <v>2010</v>
      </c>
      <c r="D26" s="79" t="s">
        <v>39</v>
      </c>
      <c r="E26" s="27" t="s">
        <v>40</v>
      </c>
      <c r="F26" s="80" t="s">
        <v>186</v>
      </c>
      <c r="G26" s="54" t="s">
        <v>185</v>
      </c>
      <c r="H26" s="110">
        <f t="shared" si="0"/>
        <v>20000</v>
      </c>
      <c r="I26" s="105">
        <v>20000</v>
      </c>
      <c r="J26" s="107">
        <v>0</v>
      </c>
      <c r="K26" s="107">
        <v>0</v>
      </c>
      <c r="L26" s="103"/>
      <c r="M26" s="17"/>
      <c r="N26" s="17"/>
      <c r="O26" s="17"/>
      <c r="P26" s="17"/>
      <c r="Q26" s="17"/>
      <c r="R26" s="17"/>
      <c r="S26" s="17"/>
    </row>
    <row r="27" spans="2:19" ht="23.25" customHeight="1">
      <c r="B27" s="289" t="s">
        <v>113</v>
      </c>
      <c r="C27" s="290"/>
      <c r="D27" s="290"/>
      <c r="E27" s="290"/>
      <c r="F27" s="290"/>
      <c r="G27" s="81"/>
      <c r="H27" s="109">
        <f t="shared" si="0"/>
        <v>20000</v>
      </c>
      <c r="I27" s="101">
        <f>I26</f>
        <v>20000</v>
      </c>
      <c r="J27" s="101">
        <f>J26</f>
        <v>0</v>
      </c>
      <c r="K27" s="101">
        <f>K26</f>
        <v>0</v>
      </c>
      <c r="L27" s="103"/>
      <c r="M27" s="17"/>
      <c r="N27" s="17"/>
      <c r="O27" s="17"/>
      <c r="P27" s="17"/>
      <c r="Q27" s="17"/>
      <c r="R27" s="17"/>
      <c r="S27" s="17"/>
    </row>
    <row r="28" spans="2:19" ht="64.5" customHeight="1">
      <c r="B28" s="19" t="s">
        <v>126</v>
      </c>
      <c r="C28" s="34">
        <v>2010</v>
      </c>
      <c r="D28" s="19" t="s">
        <v>39</v>
      </c>
      <c r="E28" s="27" t="s">
        <v>40</v>
      </c>
      <c r="F28" s="82" t="s">
        <v>226</v>
      </c>
      <c r="G28" s="82" t="s">
        <v>187</v>
      </c>
      <c r="H28" s="110">
        <f t="shared" si="0"/>
        <v>45000</v>
      </c>
      <c r="I28" s="111">
        <v>45000</v>
      </c>
      <c r="J28" s="122">
        <v>0</v>
      </c>
      <c r="K28" s="122">
        <v>0</v>
      </c>
      <c r="L28" s="103"/>
      <c r="M28" s="17"/>
      <c r="N28" s="17"/>
      <c r="O28" s="17"/>
      <c r="P28" s="17"/>
      <c r="Q28" s="17"/>
      <c r="R28" s="17"/>
      <c r="S28" s="17"/>
    </row>
    <row r="29" spans="2:19" ht="24.75" customHeight="1">
      <c r="B29" s="303" t="s">
        <v>113</v>
      </c>
      <c r="C29" s="303"/>
      <c r="D29" s="303"/>
      <c r="E29" s="303"/>
      <c r="F29" s="303"/>
      <c r="G29" s="83"/>
      <c r="H29" s="109">
        <f t="shared" si="0"/>
        <v>45000</v>
      </c>
      <c r="I29" s="112">
        <f>I28</f>
        <v>45000</v>
      </c>
      <c r="J29" s="112">
        <f>J28</f>
        <v>0</v>
      </c>
      <c r="K29" s="112">
        <f>K28</f>
        <v>0</v>
      </c>
      <c r="L29" s="103"/>
      <c r="M29" s="17"/>
      <c r="N29" s="17"/>
      <c r="O29" s="17"/>
      <c r="P29" s="17"/>
      <c r="Q29" s="17"/>
      <c r="R29" s="17"/>
      <c r="S29" s="17"/>
    </row>
    <row r="30" spans="2:19" ht="68.25" customHeight="1" hidden="1">
      <c r="B30" s="79" t="s">
        <v>127</v>
      </c>
      <c r="C30" s="79" t="s">
        <v>44</v>
      </c>
      <c r="D30" s="79"/>
      <c r="E30" s="27"/>
      <c r="F30" s="84"/>
      <c r="G30" s="52"/>
      <c r="H30" s="114"/>
      <c r="I30" s="107"/>
      <c r="J30" s="107"/>
      <c r="K30" s="107"/>
      <c r="L30" s="103"/>
      <c r="M30" s="17"/>
      <c r="N30" s="17"/>
      <c r="O30" s="17"/>
      <c r="P30" s="17"/>
      <c r="Q30" s="17"/>
      <c r="R30" s="17"/>
      <c r="S30" s="17"/>
    </row>
    <row r="31" spans="2:19" ht="24.75" customHeight="1" hidden="1">
      <c r="B31" s="289" t="s">
        <v>113</v>
      </c>
      <c r="C31" s="290"/>
      <c r="D31" s="290"/>
      <c r="E31" s="290"/>
      <c r="F31" s="290"/>
      <c r="G31" s="81"/>
      <c r="H31" s="115">
        <f>I31+J31</f>
        <v>0</v>
      </c>
      <c r="I31" s="108">
        <f>I30</f>
        <v>0</v>
      </c>
      <c r="J31" s="107"/>
      <c r="K31" s="107"/>
      <c r="L31" s="103"/>
      <c r="M31" s="17"/>
      <c r="N31" s="17"/>
      <c r="O31" s="17"/>
      <c r="P31" s="17"/>
      <c r="Q31" s="17"/>
      <c r="R31" s="17"/>
      <c r="S31" s="17"/>
    </row>
    <row r="32" spans="2:19" ht="89.25" customHeight="1">
      <c r="B32" s="33" t="s">
        <v>31</v>
      </c>
      <c r="C32" s="19" t="s">
        <v>32</v>
      </c>
      <c r="D32" s="19" t="s">
        <v>33</v>
      </c>
      <c r="E32" s="27" t="s">
        <v>34</v>
      </c>
      <c r="F32" s="304" t="s">
        <v>228</v>
      </c>
      <c r="G32" s="296" t="s">
        <v>257</v>
      </c>
      <c r="H32" s="114">
        <f>I32+J32</f>
        <v>24743930</v>
      </c>
      <c r="I32" s="104">
        <f>24616430+77500+50000</f>
        <v>24743930</v>
      </c>
      <c r="J32" s="116">
        <v>0</v>
      </c>
      <c r="K32" s="116">
        <v>0</v>
      </c>
      <c r="L32" s="103"/>
      <c r="M32" s="17"/>
      <c r="N32" s="17"/>
      <c r="O32" s="17"/>
      <c r="P32" s="17"/>
      <c r="Q32" s="17"/>
      <c r="R32" s="17"/>
      <c r="S32" s="17"/>
    </row>
    <row r="33" spans="2:19" ht="38.25" customHeight="1">
      <c r="B33" s="33" t="s">
        <v>35</v>
      </c>
      <c r="C33" s="19" t="s">
        <v>36</v>
      </c>
      <c r="D33" s="19" t="s">
        <v>37</v>
      </c>
      <c r="E33" s="27" t="s">
        <v>38</v>
      </c>
      <c r="F33" s="305"/>
      <c r="G33" s="297"/>
      <c r="H33" s="114">
        <f>I33+J33</f>
        <v>187600</v>
      </c>
      <c r="I33" s="107">
        <v>187600</v>
      </c>
      <c r="J33" s="116">
        <v>0</v>
      </c>
      <c r="K33" s="116">
        <v>0</v>
      </c>
      <c r="L33" s="103"/>
      <c r="M33" s="17"/>
      <c r="N33" s="17"/>
      <c r="O33" s="17"/>
      <c r="P33" s="17"/>
      <c r="Q33" s="17"/>
      <c r="R33" s="17"/>
      <c r="S33" s="17"/>
    </row>
    <row r="34" spans="2:19" ht="18.75" customHeight="1" hidden="1">
      <c r="B34" s="33"/>
      <c r="C34" s="34"/>
      <c r="D34" s="33"/>
      <c r="E34" s="34"/>
      <c r="F34" s="305"/>
      <c r="G34" s="297"/>
      <c r="H34" s="114">
        <f aca="true" t="shared" si="1" ref="H34:H92">I34+J34</f>
        <v>0</v>
      </c>
      <c r="I34" s="117"/>
      <c r="J34" s="116"/>
      <c r="K34" s="116"/>
      <c r="L34" s="103"/>
      <c r="M34" s="17"/>
      <c r="N34" s="17"/>
      <c r="O34" s="17"/>
      <c r="P34" s="17"/>
      <c r="Q34" s="17"/>
      <c r="R34" s="17"/>
      <c r="S34" s="17"/>
    </row>
    <row r="35" spans="2:19" ht="18.75" customHeight="1" hidden="1">
      <c r="B35" s="33" t="s">
        <v>129</v>
      </c>
      <c r="C35" s="61"/>
      <c r="D35" s="33"/>
      <c r="E35" s="27"/>
      <c r="F35" s="305"/>
      <c r="G35" s="297"/>
      <c r="H35" s="114">
        <f t="shared" si="1"/>
        <v>0</v>
      </c>
      <c r="I35" s="117"/>
      <c r="J35" s="113"/>
      <c r="K35" s="113"/>
      <c r="L35" s="118"/>
      <c r="M35" s="17"/>
      <c r="N35" s="17"/>
      <c r="O35" s="17"/>
      <c r="P35" s="17"/>
      <c r="Q35" s="17"/>
      <c r="R35" s="17"/>
      <c r="S35" s="17"/>
    </row>
    <row r="36" spans="2:19" ht="18.75" customHeight="1" hidden="1">
      <c r="B36" s="33"/>
      <c r="C36" s="61"/>
      <c r="D36" s="33"/>
      <c r="E36" s="85"/>
      <c r="F36" s="305"/>
      <c r="G36" s="297"/>
      <c r="H36" s="114">
        <f t="shared" si="1"/>
        <v>0</v>
      </c>
      <c r="I36" s="117"/>
      <c r="J36" s="113"/>
      <c r="K36" s="113"/>
      <c r="L36" s="118"/>
      <c r="M36" s="17"/>
      <c r="N36" s="17"/>
      <c r="O36" s="17"/>
      <c r="P36" s="17"/>
      <c r="Q36" s="17"/>
      <c r="R36" s="17"/>
      <c r="S36" s="17"/>
    </row>
    <row r="37" spans="2:19" ht="31.5">
      <c r="B37" s="33" t="s">
        <v>130</v>
      </c>
      <c r="C37" s="33" t="s">
        <v>52</v>
      </c>
      <c r="D37" s="19" t="s">
        <v>50</v>
      </c>
      <c r="E37" s="85" t="s">
        <v>234</v>
      </c>
      <c r="F37" s="305"/>
      <c r="G37" s="297"/>
      <c r="H37" s="114">
        <f t="shared" si="1"/>
        <v>775800</v>
      </c>
      <c r="I37" s="117">
        <f>751500+17300+7000</f>
        <v>775800</v>
      </c>
      <c r="J37" s="107">
        <v>0</v>
      </c>
      <c r="K37" s="107">
        <v>0</v>
      </c>
      <c r="L37" s="118"/>
      <c r="M37" s="17"/>
      <c r="N37" s="17"/>
      <c r="O37" s="17"/>
      <c r="P37" s="17"/>
      <c r="Q37" s="17"/>
      <c r="R37" s="17"/>
      <c r="S37" s="17"/>
    </row>
    <row r="38" spans="2:19" ht="18.75" customHeight="1" hidden="1">
      <c r="B38" s="33"/>
      <c r="C38" s="61"/>
      <c r="D38" s="33"/>
      <c r="E38" s="27"/>
      <c r="F38" s="305"/>
      <c r="G38" s="297"/>
      <c r="H38" s="114">
        <f t="shared" si="1"/>
        <v>0</v>
      </c>
      <c r="I38" s="117"/>
      <c r="J38" s="107"/>
      <c r="K38" s="107"/>
      <c r="L38" s="103"/>
      <c r="M38" s="17"/>
      <c r="N38" s="17"/>
      <c r="O38" s="17"/>
      <c r="P38" s="17"/>
      <c r="Q38" s="17"/>
      <c r="R38" s="17"/>
      <c r="S38" s="17"/>
    </row>
    <row r="39" spans="2:19" ht="31.5" customHeight="1" hidden="1">
      <c r="B39" s="33" t="s">
        <v>199</v>
      </c>
      <c r="C39" s="61">
        <v>8220</v>
      </c>
      <c r="D39" s="33" t="s">
        <v>200</v>
      </c>
      <c r="E39" s="85" t="s">
        <v>201</v>
      </c>
      <c r="F39" s="306"/>
      <c r="G39" s="298"/>
      <c r="H39" s="114">
        <f t="shared" si="1"/>
        <v>0</v>
      </c>
      <c r="I39" s="107"/>
      <c r="J39" s="108"/>
      <c r="K39" s="108"/>
      <c r="L39" s="103"/>
      <c r="M39" s="17"/>
      <c r="N39" s="17"/>
      <c r="O39" s="17"/>
      <c r="P39" s="17"/>
      <c r="Q39" s="17"/>
      <c r="R39" s="17"/>
      <c r="S39" s="17"/>
    </row>
    <row r="40" spans="2:19" ht="15.75">
      <c r="B40" s="289" t="s">
        <v>113</v>
      </c>
      <c r="C40" s="290"/>
      <c r="D40" s="290"/>
      <c r="E40" s="290"/>
      <c r="F40" s="291"/>
      <c r="G40" s="60"/>
      <c r="H40" s="115">
        <f t="shared" si="1"/>
        <v>25707330</v>
      </c>
      <c r="I40" s="108">
        <f>I32+I33+I37</f>
        <v>25707330</v>
      </c>
      <c r="J40" s="108">
        <f>J32+J33+J37</f>
        <v>0</v>
      </c>
      <c r="K40" s="108">
        <f>K32+K33+K37</f>
        <v>0</v>
      </c>
      <c r="L40" s="103"/>
      <c r="M40" s="17"/>
      <c r="N40" s="17"/>
      <c r="O40" s="17"/>
      <c r="P40" s="17"/>
      <c r="Q40" s="17"/>
      <c r="R40" s="17"/>
      <c r="S40" s="17"/>
    </row>
    <row r="41" spans="2:19" ht="99" customHeight="1">
      <c r="B41" s="33" t="s">
        <v>132</v>
      </c>
      <c r="C41" s="61">
        <v>7130</v>
      </c>
      <c r="D41" s="33" t="s">
        <v>133</v>
      </c>
      <c r="E41" s="27" t="s">
        <v>131</v>
      </c>
      <c r="F41" s="75" t="s">
        <v>225</v>
      </c>
      <c r="G41" s="75" t="s">
        <v>222</v>
      </c>
      <c r="H41" s="114">
        <f>I41+J41</f>
        <v>425564.29</v>
      </c>
      <c r="I41" s="107">
        <f>50000+350000</f>
        <v>400000</v>
      </c>
      <c r="J41" s="107">
        <v>25564.29</v>
      </c>
      <c r="K41" s="107">
        <v>0</v>
      </c>
      <c r="L41" s="103"/>
      <c r="M41" s="17"/>
      <c r="N41" s="17"/>
      <c r="O41" s="17"/>
      <c r="P41" s="17"/>
      <c r="Q41" s="17"/>
      <c r="R41" s="17"/>
      <c r="S41" s="17"/>
    </row>
    <row r="42" spans="2:19" ht="15.75">
      <c r="B42" s="289" t="s">
        <v>113</v>
      </c>
      <c r="C42" s="290"/>
      <c r="D42" s="290"/>
      <c r="E42" s="290"/>
      <c r="F42" s="291"/>
      <c r="G42" s="60"/>
      <c r="H42" s="115">
        <f>I42+J42</f>
        <v>425564.29</v>
      </c>
      <c r="I42" s="108">
        <f>I41</f>
        <v>400000</v>
      </c>
      <c r="J42" s="108">
        <f>J41</f>
        <v>25564.29</v>
      </c>
      <c r="K42" s="108">
        <f>K41</f>
        <v>0</v>
      </c>
      <c r="L42" s="103"/>
      <c r="M42" s="17"/>
      <c r="N42" s="17"/>
      <c r="O42" s="17"/>
      <c r="P42" s="17"/>
      <c r="Q42" s="17"/>
      <c r="R42" s="17"/>
      <c r="S42" s="17"/>
    </row>
    <row r="43" spans="2:19" ht="87" customHeight="1">
      <c r="B43" s="33" t="s">
        <v>129</v>
      </c>
      <c r="C43" s="61">
        <v>8110</v>
      </c>
      <c r="D43" s="33" t="s">
        <v>50</v>
      </c>
      <c r="E43" s="27" t="s">
        <v>51</v>
      </c>
      <c r="F43" s="293" t="s">
        <v>202</v>
      </c>
      <c r="G43" s="293" t="s">
        <v>10</v>
      </c>
      <c r="H43" s="114">
        <f t="shared" si="1"/>
        <v>376000</v>
      </c>
      <c r="I43" s="107">
        <f>250000+36000+(-50000)+100000</f>
        <v>336000</v>
      </c>
      <c r="J43" s="107">
        <f>40000</f>
        <v>40000</v>
      </c>
      <c r="K43" s="107">
        <f>40000</f>
        <v>40000</v>
      </c>
      <c r="L43" s="103"/>
      <c r="M43" s="17"/>
      <c r="N43" s="17"/>
      <c r="O43" s="17"/>
      <c r="P43" s="17"/>
      <c r="Q43" s="17"/>
      <c r="R43" s="17"/>
      <c r="S43" s="17"/>
    </row>
    <row r="44" spans="2:19" ht="87" customHeight="1">
      <c r="B44" s="33" t="s">
        <v>295</v>
      </c>
      <c r="C44" s="33" t="s">
        <v>296</v>
      </c>
      <c r="D44" s="19" t="s">
        <v>36</v>
      </c>
      <c r="E44" s="85" t="s">
        <v>297</v>
      </c>
      <c r="F44" s="294"/>
      <c r="G44" s="294"/>
      <c r="H44" s="114">
        <f t="shared" si="1"/>
        <v>250000</v>
      </c>
      <c r="I44" s="107">
        <f>150000</f>
        <v>150000</v>
      </c>
      <c r="J44" s="107">
        <f>50000+50000</f>
        <v>100000</v>
      </c>
      <c r="K44" s="107">
        <f>50000+50000</f>
        <v>100000</v>
      </c>
      <c r="L44" s="103"/>
      <c r="M44" s="17"/>
      <c r="N44" s="17"/>
      <c r="O44" s="17"/>
      <c r="P44" s="17"/>
      <c r="Q44" s="17"/>
      <c r="R44" s="17"/>
      <c r="S44" s="17"/>
    </row>
    <row r="45" spans="2:19" ht="15.75">
      <c r="B45" s="289" t="s">
        <v>113</v>
      </c>
      <c r="C45" s="290"/>
      <c r="D45" s="290"/>
      <c r="E45" s="290"/>
      <c r="F45" s="291"/>
      <c r="G45" s="60"/>
      <c r="H45" s="115">
        <f t="shared" si="1"/>
        <v>626000</v>
      </c>
      <c r="I45" s="108">
        <f>I43+I44</f>
        <v>486000</v>
      </c>
      <c r="J45" s="108">
        <f>J43+J44</f>
        <v>140000</v>
      </c>
      <c r="K45" s="108">
        <f>K43+K44</f>
        <v>140000</v>
      </c>
      <c r="L45" s="103"/>
      <c r="M45" s="17"/>
      <c r="N45" s="17"/>
      <c r="O45" s="17"/>
      <c r="P45" s="17"/>
      <c r="Q45" s="17"/>
      <c r="R45" s="17"/>
      <c r="S45" s="17"/>
    </row>
    <row r="46" spans="2:19" ht="110.25" customHeight="1">
      <c r="B46" s="33" t="s">
        <v>199</v>
      </c>
      <c r="C46" s="61">
        <v>8220</v>
      </c>
      <c r="D46" s="33" t="s">
        <v>200</v>
      </c>
      <c r="E46" s="189" t="s">
        <v>201</v>
      </c>
      <c r="F46" s="293" t="s">
        <v>312</v>
      </c>
      <c r="G46" s="293" t="s">
        <v>8</v>
      </c>
      <c r="H46" s="114">
        <f>I46</f>
        <v>549000</v>
      </c>
      <c r="I46" s="107">
        <f>49000+500000</f>
        <v>549000</v>
      </c>
      <c r="J46" s="107">
        <v>0</v>
      </c>
      <c r="K46" s="107">
        <v>0</v>
      </c>
      <c r="L46" s="103"/>
      <c r="M46" s="17"/>
      <c r="N46" s="17"/>
      <c r="O46" s="17"/>
      <c r="P46" s="17"/>
      <c r="Q46" s="17"/>
      <c r="R46" s="17"/>
      <c r="S46" s="17"/>
    </row>
    <row r="47" spans="2:19" ht="60" customHeight="1">
      <c r="B47" s="33" t="s">
        <v>237</v>
      </c>
      <c r="C47" s="33" t="s">
        <v>238</v>
      </c>
      <c r="D47" s="19" t="s">
        <v>200</v>
      </c>
      <c r="E47" s="85" t="s">
        <v>239</v>
      </c>
      <c r="F47" s="295"/>
      <c r="G47" s="295"/>
      <c r="H47" s="114">
        <f>I47+J47</f>
        <v>46970</v>
      </c>
      <c r="I47" s="107">
        <v>46970</v>
      </c>
      <c r="J47" s="107">
        <v>0</v>
      </c>
      <c r="K47" s="107">
        <v>0</v>
      </c>
      <c r="L47" s="103"/>
      <c r="M47" s="17"/>
      <c r="N47" s="17"/>
      <c r="O47" s="17"/>
      <c r="P47" s="17"/>
      <c r="Q47" s="17"/>
      <c r="R47" s="17"/>
      <c r="S47" s="17"/>
    </row>
    <row r="48" spans="2:19" ht="60" customHeight="1">
      <c r="B48" s="33" t="s">
        <v>295</v>
      </c>
      <c r="C48" s="33" t="s">
        <v>296</v>
      </c>
      <c r="D48" s="19" t="s">
        <v>36</v>
      </c>
      <c r="E48" s="85" t="s">
        <v>297</v>
      </c>
      <c r="F48" s="294"/>
      <c r="G48" s="294"/>
      <c r="H48" s="114">
        <f>I48+J48</f>
        <v>3192300</v>
      </c>
      <c r="I48" s="107">
        <f>552400+1000000+700000+(-100000)</f>
        <v>2152400</v>
      </c>
      <c r="J48" s="107">
        <f>27600+420000+192300+100000+200000+100000</f>
        <v>1039900</v>
      </c>
      <c r="K48" s="107">
        <f>27600+420000+192300+100000+200000+100000</f>
        <v>1039900</v>
      </c>
      <c r="L48" s="103"/>
      <c r="M48" s="17"/>
      <c r="N48" s="17"/>
      <c r="O48" s="17"/>
      <c r="P48" s="17"/>
      <c r="Q48" s="17"/>
      <c r="R48" s="17"/>
      <c r="S48" s="17"/>
    </row>
    <row r="49" spans="2:19" ht="15.75">
      <c r="B49" s="289" t="s">
        <v>113</v>
      </c>
      <c r="C49" s="290"/>
      <c r="D49" s="290"/>
      <c r="E49" s="290"/>
      <c r="F49" s="291"/>
      <c r="G49" s="60"/>
      <c r="H49" s="115">
        <f t="shared" si="1"/>
        <v>3788270</v>
      </c>
      <c r="I49" s="108">
        <f>I46+I47+I48</f>
        <v>2748370</v>
      </c>
      <c r="J49" s="108">
        <f>J46+J47+J48</f>
        <v>1039900</v>
      </c>
      <c r="K49" s="108">
        <f>K46+K47+K48</f>
        <v>1039900</v>
      </c>
      <c r="L49" s="103"/>
      <c r="M49" s="17"/>
      <c r="N49" s="17"/>
      <c r="O49" s="17"/>
      <c r="P49" s="17"/>
      <c r="Q49" s="17"/>
      <c r="R49" s="17"/>
      <c r="S49" s="17"/>
    </row>
    <row r="50" spans="2:19" ht="84.75" customHeight="1">
      <c r="B50" s="33" t="s">
        <v>295</v>
      </c>
      <c r="C50" s="33" t="s">
        <v>296</v>
      </c>
      <c r="D50" s="19" t="s">
        <v>36</v>
      </c>
      <c r="E50" s="85" t="s">
        <v>297</v>
      </c>
      <c r="F50" s="75" t="s">
        <v>307</v>
      </c>
      <c r="G50" s="75" t="s">
        <v>311</v>
      </c>
      <c r="H50" s="114">
        <f t="shared" si="1"/>
        <v>100000</v>
      </c>
      <c r="I50" s="107">
        <f>70000+30000</f>
        <v>100000</v>
      </c>
      <c r="J50" s="107">
        <v>0</v>
      </c>
      <c r="K50" s="107">
        <v>0</v>
      </c>
      <c r="L50" s="103"/>
      <c r="M50" s="17"/>
      <c r="N50" s="17"/>
      <c r="O50" s="17"/>
      <c r="P50" s="17"/>
      <c r="Q50" s="17"/>
      <c r="R50" s="17"/>
      <c r="S50" s="17"/>
    </row>
    <row r="51" spans="2:19" ht="15.75">
      <c r="B51" s="289" t="s">
        <v>113</v>
      </c>
      <c r="C51" s="290"/>
      <c r="D51" s="290"/>
      <c r="E51" s="290"/>
      <c r="F51" s="291"/>
      <c r="G51" s="60"/>
      <c r="H51" s="114">
        <f t="shared" si="1"/>
        <v>100000</v>
      </c>
      <c r="I51" s="108">
        <f>I50</f>
        <v>100000</v>
      </c>
      <c r="J51" s="108">
        <f>J50</f>
        <v>0</v>
      </c>
      <c r="K51" s="108">
        <f>K50</f>
        <v>0</v>
      </c>
      <c r="L51" s="103"/>
      <c r="M51" s="17"/>
      <c r="N51" s="17"/>
      <c r="O51" s="17"/>
      <c r="P51" s="17"/>
      <c r="Q51" s="17"/>
      <c r="R51" s="17"/>
      <c r="S51" s="17"/>
    </row>
    <row r="52" spans="2:19" ht="86.25" customHeight="1">
      <c r="B52" s="33" t="s">
        <v>295</v>
      </c>
      <c r="C52" s="33" t="s">
        <v>296</v>
      </c>
      <c r="D52" s="19" t="s">
        <v>36</v>
      </c>
      <c r="E52" s="85" t="s">
        <v>297</v>
      </c>
      <c r="F52" s="75" t="s">
        <v>308</v>
      </c>
      <c r="G52" s="75" t="s">
        <v>310</v>
      </c>
      <c r="H52" s="114">
        <f>I52+J52</f>
        <v>450000</v>
      </c>
      <c r="I52" s="107">
        <v>450000</v>
      </c>
      <c r="J52" s="107">
        <v>0</v>
      </c>
      <c r="K52" s="107">
        <v>0</v>
      </c>
      <c r="L52" s="103"/>
      <c r="M52" s="17"/>
      <c r="N52" s="17"/>
      <c r="O52" s="17"/>
      <c r="P52" s="17"/>
      <c r="Q52" s="17"/>
      <c r="R52" s="17"/>
      <c r="S52" s="17"/>
    </row>
    <row r="53" spans="2:19" ht="15.75">
      <c r="B53" s="289" t="s">
        <v>113</v>
      </c>
      <c r="C53" s="290"/>
      <c r="D53" s="290"/>
      <c r="E53" s="290"/>
      <c r="F53" s="291"/>
      <c r="G53" s="60"/>
      <c r="H53" s="114">
        <f>I53+J53</f>
        <v>450000</v>
      </c>
      <c r="I53" s="114">
        <f>I52</f>
        <v>450000</v>
      </c>
      <c r="J53" s="115">
        <f>J52</f>
        <v>0</v>
      </c>
      <c r="K53" s="108">
        <v>0</v>
      </c>
      <c r="L53" s="103"/>
      <c r="M53" s="17"/>
      <c r="N53" s="17"/>
      <c r="O53" s="17"/>
      <c r="P53" s="17"/>
      <c r="Q53" s="17"/>
      <c r="R53" s="17"/>
      <c r="S53" s="17"/>
    </row>
    <row r="54" spans="2:19" ht="78.75">
      <c r="B54" s="33" t="s">
        <v>295</v>
      </c>
      <c r="C54" s="33" t="s">
        <v>296</v>
      </c>
      <c r="D54" s="19" t="s">
        <v>36</v>
      </c>
      <c r="E54" s="85" t="s">
        <v>297</v>
      </c>
      <c r="F54" s="75" t="s">
        <v>478</v>
      </c>
      <c r="G54" s="75" t="s">
        <v>484</v>
      </c>
      <c r="H54" s="114">
        <f t="shared" si="1"/>
        <v>70000</v>
      </c>
      <c r="I54" s="114">
        <v>70000</v>
      </c>
      <c r="J54" s="114">
        <v>0</v>
      </c>
      <c r="K54" s="107">
        <v>0</v>
      </c>
      <c r="L54" s="103"/>
      <c r="M54" s="17"/>
      <c r="N54" s="17"/>
      <c r="O54" s="17"/>
      <c r="P54" s="17"/>
      <c r="Q54" s="17"/>
      <c r="R54" s="17"/>
      <c r="S54" s="17"/>
    </row>
    <row r="55" spans="2:19" ht="15.75">
      <c r="B55" s="289" t="s">
        <v>113</v>
      </c>
      <c r="C55" s="290"/>
      <c r="D55" s="290"/>
      <c r="E55" s="290"/>
      <c r="F55" s="291"/>
      <c r="G55" s="60"/>
      <c r="H55" s="114">
        <f t="shared" si="1"/>
        <v>70000</v>
      </c>
      <c r="I55" s="114">
        <f>I54</f>
        <v>70000</v>
      </c>
      <c r="J55" s="114">
        <f>J54</f>
        <v>0</v>
      </c>
      <c r="K55" s="114">
        <f>K54</f>
        <v>0</v>
      </c>
      <c r="L55" s="103"/>
      <c r="M55" s="17"/>
      <c r="N55" s="17"/>
      <c r="O55" s="17"/>
      <c r="P55" s="17"/>
      <c r="Q55" s="17"/>
      <c r="R55" s="17"/>
      <c r="S55" s="17"/>
    </row>
    <row r="56" spans="2:19" ht="143.25" customHeight="1">
      <c r="B56" s="33" t="s">
        <v>295</v>
      </c>
      <c r="C56" s="33" t="s">
        <v>296</v>
      </c>
      <c r="D56" s="19" t="s">
        <v>36</v>
      </c>
      <c r="E56" s="85" t="s">
        <v>297</v>
      </c>
      <c r="F56" s="75" t="s">
        <v>4</v>
      </c>
      <c r="G56" s="274" t="s">
        <v>2</v>
      </c>
      <c r="H56" s="114">
        <f t="shared" si="1"/>
        <v>91500</v>
      </c>
      <c r="I56" s="114">
        <v>91500</v>
      </c>
      <c r="J56" s="114"/>
      <c r="K56" s="114"/>
      <c r="L56" s="103"/>
      <c r="M56" s="17"/>
      <c r="N56" s="17"/>
      <c r="O56" s="17"/>
      <c r="P56" s="17"/>
      <c r="Q56" s="17"/>
      <c r="R56" s="17"/>
      <c r="S56" s="17"/>
    </row>
    <row r="57" spans="2:19" ht="15.75">
      <c r="B57" s="289" t="s">
        <v>113</v>
      </c>
      <c r="C57" s="290"/>
      <c r="D57" s="290"/>
      <c r="E57" s="290"/>
      <c r="F57" s="291"/>
      <c r="G57" s="60"/>
      <c r="H57" s="115">
        <f t="shared" si="1"/>
        <v>91500</v>
      </c>
      <c r="I57" s="115">
        <f>I56</f>
        <v>91500</v>
      </c>
      <c r="J57" s="115">
        <f>J56</f>
        <v>0</v>
      </c>
      <c r="K57" s="115">
        <f>K56</f>
        <v>0</v>
      </c>
      <c r="L57" s="103"/>
      <c r="M57" s="17"/>
      <c r="N57" s="17"/>
      <c r="O57" s="17"/>
      <c r="P57" s="17"/>
      <c r="Q57" s="17"/>
      <c r="R57" s="17"/>
      <c r="S57" s="17"/>
    </row>
    <row r="58" spans="2:19" ht="110.25">
      <c r="B58" s="33" t="s">
        <v>295</v>
      </c>
      <c r="C58" s="33" t="s">
        <v>296</v>
      </c>
      <c r="D58" s="19" t="s">
        <v>36</v>
      </c>
      <c r="E58" s="85" t="s">
        <v>297</v>
      </c>
      <c r="F58" s="75" t="s">
        <v>11</v>
      </c>
      <c r="G58" s="75" t="s">
        <v>12</v>
      </c>
      <c r="H58" s="114">
        <f>I58+J58</f>
        <v>10000</v>
      </c>
      <c r="I58" s="114">
        <v>10000</v>
      </c>
      <c r="J58" s="114">
        <v>0</v>
      </c>
      <c r="K58" s="114">
        <v>0</v>
      </c>
      <c r="L58" s="103"/>
      <c r="M58" s="17"/>
      <c r="N58" s="17"/>
      <c r="O58" s="17"/>
      <c r="P58" s="17"/>
      <c r="Q58" s="17"/>
      <c r="R58" s="17"/>
      <c r="S58" s="17"/>
    </row>
    <row r="59" spans="2:19" ht="15.75">
      <c r="B59" s="289" t="s">
        <v>113</v>
      </c>
      <c r="C59" s="290"/>
      <c r="D59" s="290"/>
      <c r="E59" s="290"/>
      <c r="F59" s="291"/>
      <c r="G59" s="60"/>
      <c r="H59" s="115">
        <f>I59+J59</f>
        <v>10000</v>
      </c>
      <c r="I59" s="115">
        <f>I58</f>
        <v>10000</v>
      </c>
      <c r="J59" s="115">
        <f>J58</f>
        <v>0</v>
      </c>
      <c r="K59" s="115">
        <f>K58</f>
        <v>0</v>
      </c>
      <c r="L59" s="103"/>
      <c r="M59" s="17"/>
      <c r="N59" s="17"/>
      <c r="O59" s="17"/>
      <c r="P59" s="17"/>
      <c r="Q59" s="17"/>
      <c r="R59" s="17"/>
      <c r="S59" s="17"/>
    </row>
    <row r="60" spans="2:19" ht="78.75">
      <c r="B60" s="33" t="s">
        <v>315</v>
      </c>
      <c r="C60" s="61">
        <v>7680</v>
      </c>
      <c r="D60" s="33" t="s">
        <v>289</v>
      </c>
      <c r="E60" s="27" t="s">
        <v>316</v>
      </c>
      <c r="F60" s="75" t="s">
        <v>321</v>
      </c>
      <c r="G60" s="75" t="s">
        <v>324</v>
      </c>
      <c r="H60" s="104">
        <f>I60+J60</f>
        <v>38000</v>
      </c>
      <c r="I60" s="114">
        <v>38000</v>
      </c>
      <c r="J60" s="114">
        <v>0</v>
      </c>
      <c r="K60" s="108">
        <v>0</v>
      </c>
      <c r="L60" s="103"/>
      <c r="M60" s="17"/>
      <c r="N60" s="17"/>
      <c r="O60" s="17"/>
      <c r="P60" s="17"/>
      <c r="Q60" s="17"/>
      <c r="R60" s="17"/>
      <c r="S60" s="17"/>
    </row>
    <row r="61" spans="2:19" ht="15.75">
      <c r="B61" s="289" t="s">
        <v>113</v>
      </c>
      <c r="C61" s="290"/>
      <c r="D61" s="290"/>
      <c r="E61" s="290"/>
      <c r="F61" s="291"/>
      <c r="G61" s="60"/>
      <c r="H61" s="101">
        <f>I61+J61</f>
        <v>38000</v>
      </c>
      <c r="I61" s="115">
        <f>I60</f>
        <v>38000</v>
      </c>
      <c r="J61" s="115">
        <f>J60</f>
        <v>0</v>
      </c>
      <c r="K61" s="114">
        <f>K60</f>
        <v>0</v>
      </c>
      <c r="L61" s="103"/>
      <c r="M61" s="17"/>
      <c r="N61" s="17"/>
      <c r="O61" s="17"/>
      <c r="P61" s="17"/>
      <c r="Q61" s="17"/>
      <c r="R61" s="17"/>
      <c r="S61" s="17"/>
    </row>
    <row r="62" spans="2:19" ht="15.75">
      <c r="B62" s="62" t="s">
        <v>53</v>
      </c>
      <c r="C62" s="62"/>
      <c r="D62" s="62"/>
      <c r="E62" s="59" t="s">
        <v>190</v>
      </c>
      <c r="F62" s="63"/>
      <c r="G62" s="52"/>
      <c r="H62" s="101">
        <f t="shared" si="1"/>
        <v>96640584.5</v>
      </c>
      <c r="I62" s="102">
        <f>I63</f>
        <v>93716300</v>
      </c>
      <c r="J62" s="102">
        <f>J63</f>
        <v>2924284.5</v>
      </c>
      <c r="K62" s="102">
        <f>K63</f>
        <v>2924284.5</v>
      </c>
      <c r="L62" s="103"/>
      <c r="M62" s="17"/>
      <c r="N62" s="17"/>
      <c r="O62" s="17"/>
      <c r="P62" s="17"/>
      <c r="Q62" s="17"/>
      <c r="R62" s="17"/>
      <c r="S62" s="17"/>
    </row>
    <row r="63" spans="2:19" ht="15.75">
      <c r="B63" s="19" t="s">
        <v>54</v>
      </c>
      <c r="C63" s="19"/>
      <c r="D63" s="19"/>
      <c r="E63" s="27" t="s">
        <v>203</v>
      </c>
      <c r="F63" s="63"/>
      <c r="G63" s="52"/>
      <c r="H63" s="104">
        <f t="shared" si="1"/>
        <v>96640584.5</v>
      </c>
      <c r="I63" s="105">
        <f>I65+I70+I72</f>
        <v>93716300</v>
      </c>
      <c r="J63" s="105">
        <f>J65+J70+J72</f>
        <v>2924284.5</v>
      </c>
      <c r="K63" s="105">
        <f>K65+K70+K72</f>
        <v>2924284.5</v>
      </c>
      <c r="L63" s="103"/>
      <c r="M63" s="17"/>
      <c r="N63" s="17"/>
      <c r="O63" s="17"/>
      <c r="P63" s="17"/>
      <c r="Q63" s="17"/>
      <c r="R63" s="17"/>
      <c r="S63" s="17"/>
    </row>
    <row r="64" spans="2:19" ht="48.75" customHeight="1">
      <c r="B64" s="33" t="s">
        <v>166</v>
      </c>
      <c r="C64" s="61">
        <v>1142</v>
      </c>
      <c r="D64" s="33" t="s">
        <v>58</v>
      </c>
      <c r="E64" s="85" t="s">
        <v>60</v>
      </c>
      <c r="F64" s="20" t="s">
        <v>145</v>
      </c>
      <c r="G64" s="54" t="s">
        <v>188</v>
      </c>
      <c r="H64" s="104">
        <f t="shared" si="1"/>
        <v>1332000</v>
      </c>
      <c r="I64" s="105">
        <f>1205000+50000+50000+27000</f>
        <v>1332000</v>
      </c>
      <c r="J64" s="105">
        <v>0</v>
      </c>
      <c r="K64" s="105">
        <v>0</v>
      </c>
      <c r="L64" s="103"/>
      <c r="M64" s="17"/>
      <c r="N64" s="17"/>
      <c r="O64" s="17"/>
      <c r="P64" s="17"/>
      <c r="Q64" s="17"/>
      <c r="R64" s="17"/>
      <c r="S64" s="17"/>
    </row>
    <row r="65" spans="2:19" ht="15.75">
      <c r="B65" s="289" t="s">
        <v>113</v>
      </c>
      <c r="C65" s="290"/>
      <c r="D65" s="290"/>
      <c r="E65" s="290"/>
      <c r="F65" s="291"/>
      <c r="G65" s="60"/>
      <c r="H65" s="101">
        <f t="shared" si="1"/>
        <v>1332000</v>
      </c>
      <c r="I65" s="108">
        <f>I64</f>
        <v>1332000</v>
      </c>
      <c r="J65" s="108">
        <f>J64</f>
        <v>0</v>
      </c>
      <c r="K65" s="108">
        <f>K64</f>
        <v>0</v>
      </c>
      <c r="L65" s="103"/>
      <c r="M65" s="17"/>
      <c r="N65" s="17"/>
      <c r="O65" s="17"/>
      <c r="P65" s="17"/>
      <c r="Q65" s="17"/>
      <c r="R65" s="17"/>
      <c r="S65" s="17"/>
    </row>
    <row r="66" spans="2:19" ht="15.75" customHeight="1">
      <c r="B66" s="33" t="s">
        <v>137</v>
      </c>
      <c r="C66" s="33" t="s">
        <v>81</v>
      </c>
      <c r="D66" s="33" t="s">
        <v>139</v>
      </c>
      <c r="E66" s="85" t="s">
        <v>138</v>
      </c>
      <c r="F66" s="296" t="s">
        <v>255</v>
      </c>
      <c r="G66" s="296" t="s">
        <v>249</v>
      </c>
      <c r="H66" s="104">
        <f t="shared" si="1"/>
        <v>25743880</v>
      </c>
      <c r="I66" s="107">
        <f>22645700+2418100+117200+20000+248300+60000+155580+14000</f>
        <v>25678880</v>
      </c>
      <c r="J66" s="107">
        <v>65000</v>
      </c>
      <c r="K66" s="107">
        <v>65000</v>
      </c>
      <c r="L66" s="103"/>
      <c r="M66" s="17"/>
      <c r="N66" s="17"/>
      <c r="O66" s="17"/>
      <c r="P66" s="17"/>
      <c r="Q66" s="17"/>
      <c r="R66" s="17"/>
      <c r="S66" s="17"/>
    </row>
    <row r="67" spans="2:19" ht="78" customHeight="1">
      <c r="B67" s="33" t="s">
        <v>157</v>
      </c>
      <c r="C67" s="61">
        <v>1021</v>
      </c>
      <c r="D67" s="33" t="s">
        <v>56</v>
      </c>
      <c r="E67" s="85" t="s">
        <v>156</v>
      </c>
      <c r="F67" s="297"/>
      <c r="G67" s="297"/>
      <c r="H67" s="104">
        <f t="shared" si="1"/>
        <v>61791440</v>
      </c>
      <c r="I67" s="107">
        <f>47195580+11961870+142370+300000+82400+(-99000)+124900+900000+(-248300)+220000+321620+56000</f>
        <v>60957440</v>
      </c>
      <c r="J67" s="107">
        <f>386000+99000+150000+199000</f>
        <v>834000</v>
      </c>
      <c r="K67" s="107">
        <f>386000+99000+150000+199000</f>
        <v>834000</v>
      </c>
      <c r="L67" s="103"/>
      <c r="M67" s="17"/>
      <c r="N67" s="17"/>
      <c r="O67" s="17"/>
      <c r="P67" s="17"/>
      <c r="Q67" s="17"/>
      <c r="R67" s="17"/>
      <c r="S67" s="17"/>
    </row>
    <row r="68" spans="2:19" ht="78" customHeight="1">
      <c r="B68" s="33" t="s">
        <v>161</v>
      </c>
      <c r="C68" s="61">
        <v>1070</v>
      </c>
      <c r="D68" s="33" t="s">
        <v>57</v>
      </c>
      <c r="E68" s="85" t="s">
        <v>121</v>
      </c>
      <c r="F68" s="297"/>
      <c r="G68" s="297"/>
      <c r="H68" s="104">
        <f t="shared" si="1"/>
        <v>5458330</v>
      </c>
      <c r="I68" s="107">
        <f>5373300+16030+69000</f>
        <v>5458330</v>
      </c>
      <c r="J68" s="107">
        <v>0</v>
      </c>
      <c r="K68" s="107">
        <v>0</v>
      </c>
      <c r="L68" s="103"/>
      <c r="M68" s="17"/>
      <c r="N68" s="17"/>
      <c r="O68" s="17"/>
      <c r="P68" s="17"/>
      <c r="Q68" s="17"/>
      <c r="R68" s="17"/>
      <c r="S68" s="17"/>
    </row>
    <row r="69" spans="2:19" ht="78" customHeight="1">
      <c r="B69" s="33" t="s">
        <v>166</v>
      </c>
      <c r="C69" s="61">
        <v>1142</v>
      </c>
      <c r="D69" s="33" t="s">
        <v>58</v>
      </c>
      <c r="E69" s="85" t="s">
        <v>60</v>
      </c>
      <c r="F69" s="298"/>
      <c r="G69" s="298"/>
      <c r="H69" s="104">
        <f t="shared" si="1"/>
        <v>289650</v>
      </c>
      <c r="I69" s="107">
        <v>289650</v>
      </c>
      <c r="J69" s="107">
        <v>0</v>
      </c>
      <c r="K69" s="107">
        <v>0</v>
      </c>
      <c r="L69" s="103"/>
      <c r="M69" s="17"/>
      <c r="N69" s="17"/>
      <c r="O69" s="17"/>
      <c r="P69" s="17"/>
      <c r="Q69" s="17"/>
      <c r="R69" s="17"/>
      <c r="S69" s="17"/>
    </row>
    <row r="70" spans="2:19" ht="15.75">
      <c r="B70" s="289" t="s">
        <v>113</v>
      </c>
      <c r="C70" s="290"/>
      <c r="D70" s="290"/>
      <c r="E70" s="290"/>
      <c r="F70" s="291"/>
      <c r="G70" s="64"/>
      <c r="H70" s="101">
        <f t="shared" si="1"/>
        <v>93283300</v>
      </c>
      <c r="I70" s="108">
        <f>I66+I67+I68+I69</f>
        <v>92384300</v>
      </c>
      <c r="J70" s="108">
        <f>J66+J67+J68+J69</f>
        <v>899000</v>
      </c>
      <c r="K70" s="108">
        <f>K66+K67+K68+K69</f>
        <v>899000</v>
      </c>
      <c r="L70" s="103"/>
      <c r="M70" s="17"/>
      <c r="N70" s="17"/>
      <c r="O70" s="17"/>
      <c r="P70" s="17"/>
      <c r="Q70" s="17"/>
      <c r="R70" s="17"/>
      <c r="S70" s="17"/>
    </row>
    <row r="71" spans="2:19" ht="103.5" customHeight="1">
      <c r="B71" s="33" t="s">
        <v>288</v>
      </c>
      <c r="C71" s="61">
        <v>7363</v>
      </c>
      <c r="D71" s="33" t="s">
        <v>289</v>
      </c>
      <c r="E71" s="85" t="s">
        <v>290</v>
      </c>
      <c r="F71" s="88" t="s">
        <v>228</v>
      </c>
      <c r="G71" s="88" t="s">
        <v>257</v>
      </c>
      <c r="H71" s="104">
        <f t="shared" si="1"/>
        <v>2025284.5</v>
      </c>
      <c r="I71" s="107">
        <v>0</v>
      </c>
      <c r="J71" s="107">
        <f>2820+1979744.5+42720</f>
        <v>2025284.5</v>
      </c>
      <c r="K71" s="107">
        <f>2820+1979744.5+42720</f>
        <v>2025284.5</v>
      </c>
      <c r="L71" s="103"/>
      <c r="M71" s="17"/>
      <c r="N71" s="17"/>
      <c r="O71" s="17"/>
      <c r="P71" s="17"/>
      <c r="Q71" s="17"/>
      <c r="R71" s="17"/>
      <c r="S71" s="17"/>
    </row>
    <row r="72" spans="2:19" ht="15.75">
      <c r="B72" s="181"/>
      <c r="C72" s="182"/>
      <c r="D72" s="182"/>
      <c r="E72" s="182"/>
      <c r="F72" s="65"/>
      <c r="G72" s="64"/>
      <c r="H72" s="101">
        <f t="shared" si="1"/>
        <v>2025284.5</v>
      </c>
      <c r="I72" s="108">
        <f>I71</f>
        <v>0</v>
      </c>
      <c r="J72" s="108">
        <f>J71</f>
        <v>2025284.5</v>
      </c>
      <c r="K72" s="108">
        <f>K71</f>
        <v>2025284.5</v>
      </c>
      <c r="L72" s="103"/>
      <c r="M72" s="17"/>
      <c r="N72" s="17"/>
      <c r="O72" s="17"/>
      <c r="P72" s="17"/>
      <c r="Q72" s="17"/>
      <c r="R72" s="17"/>
      <c r="S72" s="17"/>
    </row>
    <row r="73" spans="2:19" ht="15.75">
      <c r="B73" s="58" t="s">
        <v>151</v>
      </c>
      <c r="C73" s="58"/>
      <c r="D73" s="62"/>
      <c r="E73" s="35" t="s">
        <v>191</v>
      </c>
      <c r="F73" s="65"/>
      <c r="G73" s="64"/>
      <c r="H73" s="115">
        <f t="shared" si="1"/>
        <v>14187280</v>
      </c>
      <c r="I73" s="108">
        <f>I74</f>
        <v>14187280</v>
      </c>
      <c r="J73" s="108">
        <f>J74</f>
        <v>0</v>
      </c>
      <c r="K73" s="108">
        <f>K74</f>
        <v>0</v>
      </c>
      <c r="L73" s="103"/>
      <c r="M73" s="17"/>
      <c r="N73" s="17"/>
      <c r="O73" s="17"/>
      <c r="P73" s="17"/>
      <c r="Q73" s="17"/>
      <c r="R73" s="17"/>
      <c r="S73" s="17"/>
    </row>
    <row r="74" spans="2:19" ht="15.75">
      <c r="B74" s="33" t="s">
        <v>152</v>
      </c>
      <c r="C74" s="33"/>
      <c r="D74" s="19"/>
      <c r="E74" s="34" t="s">
        <v>191</v>
      </c>
      <c r="F74" s="65"/>
      <c r="G74" s="64"/>
      <c r="H74" s="114">
        <f t="shared" si="1"/>
        <v>14187280</v>
      </c>
      <c r="I74" s="107">
        <f>I79+I82+I84+I86+I88+I95+I97+I99+I103</f>
        <v>14187280</v>
      </c>
      <c r="J74" s="107">
        <f>J79+J82+J84+J86+J88+J95+J97+J99</f>
        <v>0</v>
      </c>
      <c r="K74" s="107">
        <f>K79+K82+K84+K86+K88+K95+K97+K99</f>
        <v>0</v>
      </c>
      <c r="L74" s="103"/>
      <c r="M74" s="17"/>
      <c r="N74" s="17"/>
      <c r="O74" s="17"/>
      <c r="P74" s="17"/>
      <c r="Q74" s="17"/>
      <c r="R74" s="17"/>
      <c r="S74" s="17"/>
    </row>
    <row r="75" spans="2:19" ht="45.75" customHeight="1">
      <c r="B75" s="33" t="s">
        <v>66</v>
      </c>
      <c r="C75" s="33" t="s">
        <v>67</v>
      </c>
      <c r="D75" s="19" t="s">
        <v>65</v>
      </c>
      <c r="E75" s="86" t="s">
        <v>68</v>
      </c>
      <c r="F75" s="296" t="s">
        <v>229</v>
      </c>
      <c r="G75" s="296" t="s">
        <v>230</v>
      </c>
      <c r="H75" s="114">
        <f t="shared" si="1"/>
        <v>5000</v>
      </c>
      <c r="I75" s="117">
        <v>5000</v>
      </c>
      <c r="J75" s="107">
        <v>0</v>
      </c>
      <c r="K75" s="107">
        <v>0</v>
      </c>
      <c r="L75" s="103"/>
      <c r="M75" s="17"/>
      <c r="N75" s="17"/>
      <c r="O75" s="17"/>
      <c r="P75" s="17"/>
      <c r="Q75" s="17"/>
      <c r="R75" s="17"/>
      <c r="S75" s="17"/>
    </row>
    <row r="76" spans="2:19" ht="40.5" customHeight="1">
      <c r="B76" s="33" t="s">
        <v>69</v>
      </c>
      <c r="C76" s="33" t="s">
        <v>70</v>
      </c>
      <c r="D76" s="19" t="s">
        <v>71</v>
      </c>
      <c r="E76" s="87" t="s">
        <v>72</v>
      </c>
      <c r="F76" s="297"/>
      <c r="G76" s="297"/>
      <c r="H76" s="114">
        <f t="shared" si="1"/>
        <v>25000</v>
      </c>
      <c r="I76" s="117">
        <v>25000</v>
      </c>
      <c r="J76" s="107">
        <v>0</v>
      </c>
      <c r="K76" s="107">
        <v>0</v>
      </c>
      <c r="L76" s="103"/>
      <c r="M76" s="17"/>
      <c r="N76" s="17"/>
      <c r="O76" s="17"/>
      <c r="P76" s="17"/>
      <c r="Q76" s="17"/>
      <c r="R76" s="17"/>
      <c r="S76" s="17"/>
    </row>
    <row r="77" spans="2:19" ht="59.25" customHeight="1">
      <c r="B77" s="33" t="s">
        <v>73</v>
      </c>
      <c r="C77" s="19" t="s">
        <v>74</v>
      </c>
      <c r="D77" s="19" t="s">
        <v>71</v>
      </c>
      <c r="E77" s="27" t="s">
        <v>75</v>
      </c>
      <c r="F77" s="297"/>
      <c r="G77" s="297"/>
      <c r="H77" s="114">
        <f t="shared" si="1"/>
        <v>50000</v>
      </c>
      <c r="I77" s="117">
        <v>50000</v>
      </c>
      <c r="J77" s="107">
        <v>0</v>
      </c>
      <c r="K77" s="107">
        <v>0</v>
      </c>
      <c r="L77" s="103"/>
      <c r="M77" s="17"/>
      <c r="N77" s="17"/>
      <c r="O77" s="17"/>
      <c r="P77" s="17"/>
      <c r="Q77" s="17"/>
      <c r="R77" s="17"/>
      <c r="S77" s="17"/>
    </row>
    <row r="78" spans="2:19" ht="57.75" customHeight="1">
      <c r="B78" s="33" t="s">
        <v>76</v>
      </c>
      <c r="C78" s="33" t="s">
        <v>77</v>
      </c>
      <c r="D78" s="19" t="s">
        <v>71</v>
      </c>
      <c r="E78" s="27" t="s">
        <v>78</v>
      </c>
      <c r="F78" s="298"/>
      <c r="G78" s="298"/>
      <c r="H78" s="114">
        <f t="shared" si="1"/>
        <v>100000</v>
      </c>
      <c r="I78" s="117">
        <v>100000</v>
      </c>
      <c r="J78" s="107">
        <v>0</v>
      </c>
      <c r="K78" s="107">
        <v>0</v>
      </c>
      <c r="L78" s="103"/>
      <c r="M78" s="17"/>
      <c r="N78" s="17"/>
      <c r="O78" s="17"/>
      <c r="P78" s="17"/>
      <c r="Q78" s="17"/>
      <c r="R78" s="17"/>
      <c r="S78" s="17"/>
    </row>
    <row r="79" spans="2:19" ht="15.75">
      <c r="B79" s="289" t="s">
        <v>113</v>
      </c>
      <c r="C79" s="290"/>
      <c r="D79" s="290"/>
      <c r="E79" s="290"/>
      <c r="F79" s="291"/>
      <c r="G79" s="69"/>
      <c r="H79" s="115">
        <f t="shared" si="1"/>
        <v>180000</v>
      </c>
      <c r="I79" s="119">
        <f>I75+I76+I77+I78</f>
        <v>180000</v>
      </c>
      <c r="J79" s="119">
        <f>J75+J76+J77+J78</f>
        <v>0</v>
      </c>
      <c r="K79" s="119">
        <f>K75+K76+K77+K78</f>
        <v>0</v>
      </c>
      <c r="L79" s="103"/>
      <c r="M79" s="17"/>
      <c r="N79" s="17"/>
      <c r="O79" s="17"/>
      <c r="P79" s="17"/>
      <c r="Q79" s="17"/>
      <c r="R79" s="17"/>
      <c r="S79" s="17"/>
    </row>
    <row r="80" spans="2:19" ht="78.75" customHeight="1">
      <c r="B80" s="33" t="s">
        <v>149</v>
      </c>
      <c r="C80" s="33" t="s">
        <v>44</v>
      </c>
      <c r="D80" s="19" t="s">
        <v>45</v>
      </c>
      <c r="E80" s="27" t="s">
        <v>46</v>
      </c>
      <c r="F80" s="296" t="s">
        <v>228</v>
      </c>
      <c r="G80" s="296" t="s">
        <v>257</v>
      </c>
      <c r="H80" s="114">
        <f t="shared" si="1"/>
        <v>9089760</v>
      </c>
      <c r="I80" s="117">
        <f>9074760+15000</f>
        <v>9089760</v>
      </c>
      <c r="J80" s="116">
        <v>0</v>
      </c>
      <c r="K80" s="116">
        <v>0</v>
      </c>
      <c r="L80" s="103"/>
      <c r="M80" s="17"/>
      <c r="N80" s="17"/>
      <c r="O80" s="17"/>
      <c r="P80" s="17"/>
      <c r="Q80" s="17"/>
      <c r="R80" s="17"/>
      <c r="S80" s="17"/>
    </row>
    <row r="81" spans="2:19" ht="60.75" customHeight="1">
      <c r="B81" s="33" t="s">
        <v>150</v>
      </c>
      <c r="C81" s="19" t="s">
        <v>47</v>
      </c>
      <c r="D81" s="19" t="s">
        <v>48</v>
      </c>
      <c r="E81" s="27" t="s">
        <v>175</v>
      </c>
      <c r="F81" s="298"/>
      <c r="G81" s="297"/>
      <c r="H81" s="120">
        <f t="shared" si="1"/>
        <v>829100</v>
      </c>
      <c r="I81" s="117">
        <v>829100</v>
      </c>
      <c r="J81" s="116">
        <v>0</v>
      </c>
      <c r="K81" s="116">
        <v>0</v>
      </c>
      <c r="L81" s="103"/>
      <c r="M81" s="17"/>
      <c r="N81" s="17"/>
      <c r="O81" s="17"/>
      <c r="P81" s="17"/>
      <c r="Q81" s="17"/>
      <c r="R81" s="17"/>
      <c r="S81" s="17"/>
    </row>
    <row r="82" spans="2:19" ht="15.75">
      <c r="B82" s="289" t="s">
        <v>113</v>
      </c>
      <c r="C82" s="290"/>
      <c r="D82" s="290"/>
      <c r="E82" s="290"/>
      <c r="F82" s="291"/>
      <c r="G82" s="69"/>
      <c r="H82" s="121">
        <f t="shared" si="1"/>
        <v>9918860</v>
      </c>
      <c r="I82" s="119">
        <f>I80+I81</f>
        <v>9918860</v>
      </c>
      <c r="J82" s="119">
        <f>J80+J81</f>
        <v>0</v>
      </c>
      <c r="K82" s="119">
        <f>K80+K81</f>
        <v>0</v>
      </c>
      <c r="L82" s="103"/>
      <c r="M82" s="17"/>
      <c r="N82" s="17"/>
      <c r="O82" s="17"/>
      <c r="P82" s="17"/>
      <c r="Q82" s="17"/>
      <c r="R82" s="17"/>
      <c r="S82" s="17"/>
    </row>
    <row r="83" spans="2:19" ht="106.5" customHeight="1">
      <c r="B83" s="33" t="s">
        <v>150</v>
      </c>
      <c r="C83" s="19" t="s">
        <v>47</v>
      </c>
      <c r="D83" s="19" t="s">
        <v>48</v>
      </c>
      <c r="E83" s="27" t="s">
        <v>175</v>
      </c>
      <c r="F83" s="88" t="s">
        <v>245</v>
      </c>
      <c r="G83" s="82" t="s">
        <v>240</v>
      </c>
      <c r="H83" s="120">
        <f t="shared" si="1"/>
        <v>15000</v>
      </c>
      <c r="I83" s="117">
        <v>15000</v>
      </c>
      <c r="J83" s="133">
        <v>0</v>
      </c>
      <c r="K83" s="133">
        <v>0</v>
      </c>
      <c r="L83" s="103"/>
      <c r="M83" s="17"/>
      <c r="N83" s="17"/>
      <c r="O83" s="17"/>
      <c r="P83" s="17"/>
      <c r="Q83" s="17"/>
      <c r="R83" s="17"/>
      <c r="S83" s="17"/>
    </row>
    <row r="84" spans="2:19" ht="15.75">
      <c r="B84" s="289" t="s">
        <v>113</v>
      </c>
      <c r="C84" s="290"/>
      <c r="D84" s="290"/>
      <c r="E84" s="290"/>
      <c r="F84" s="291"/>
      <c r="G84" s="69"/>
      <c r="H84" s="120">
        <f t="shared" si="1"/>
        <v>15000</v>
      </c>
      <c r="I84" s="119">
        <f>I83</f>
        <v>15000</v>
      </c>
      <c r="J84" s="119">
        <f>J83</f>
        <v>0</v>
      </c>
      <c r="K84" s="119">
        <f>K83</f>
        <v>0</v>
      </c>
      <c r="L84" s="103"/>
      <c r="M84" s="17"/>
      <c r="N84" s="17"/>
      <c r="O84" s="17"/>
      <c r="P84" s="17"/>
      <c r="Q84" s="17"/>
      <c r="R84" s="17"/>
      <c r="S84" s="17"/>
    </row>
    <row r="85" spans="2:19" ht="63">
      <c r="B85" s="33" t="s">
        <v>149</v>
      </c>
      <c r="C85" s="33" t="s">
        <v>44</v>
      </c>
      <c r="D85" s="19" t="s">
        <v>45</v>
      </c>
      <c r="E85" s="27" t="s">
        <v>46</v>
      </c>
      <c r="F85" s="88" t="s">
        <v>218</v>
      </c>
      <c r="G85" s="82" t="s">
        <v>219</v>
      </c>
      <c r="H85" s="120">
        <f t="shared" si="1"/>
        <v>66800</v>
      </c>
      <c r="I85" s="117">
        <v>66800</v>
      </c>
      <c r="J85" s="116">
        <v>0</v>
      </c>
      <c r="K85" s="116">
        <v>0</v>
      </c>
      <c r="L85" s="103"/>
      <c r="M85" s="17"/>
      <c r="N85" s="17"/>
      <c r="O85" s="17"/>
      <c r="P85" s="17"/>
      <c r="Q85" s="17"/>
      <c r="R85" s="17"/>
      <c r="S85" s="17"/>
    </row>
    <row r="86" spans="2:19" ht="15.75">
      <c r="B86" s="289" t="s">
        <v>113</v>
      </c>
      <c r="C86" s="290"/>
      <c r="D86" s="290"/>
      <c r="E86" s="290"/>
      <c r="F86" s="291"/>
      <c r="G86" s="69"/>
      <c r="H86" s="121">
        <f t="shared" si="1"/>
        <v>66800</v>
      </c>
      <c r="I86" s="119">
        <f>I85</f>
        <v>66800</v>
      </c>
      <c r="J86" s="119">
        <f>J85</f>
        <v>0</v>
      </c>
      <c r="K86" s="119">
        <f>K85</f>
        <v>0</v>
      </c>
      <c r="L86" s="103"/>
      <c r="M86" s="17"/>
      <c r="N86" s="17"/>
      <c r="O86" s="17"/>
      <c r="P86" s="17"/>
      <c r="Q86" s="17"/>
      <c r="R86" s="17"/>
      <c r="S86" s="17"/>
    </row>
    <row r="87" spans="2:19" ht="63">
      <c r="B87" s="33" t="s">
        <v>149</v>
      </c>
      <c r="C87" s="33" t="s">
        <v>44</v>
      </c>
      <c r="D87" s="19" t="s">
        <v>45</v>
      </c>
      <c r="E87" s="27" t="s">
        <v>46</v>
      </c>
      <c r="F87" s="88" t="s">
        <v>220</v>
      </c>
      <c r="G87" s="82" t="s">
        <v>221</v>
      </c>
      <c r="H87" s="120">
        <f t="shared" si="1"/>
        <v>24940</v>
      </c>
      <c r="I87" s="117">
        <v>24940</v>
      </c>
      <c r="J87" s="116">
        <v>0</v>
      </c>
      <c r="K87" s="116">
        <v>0</v>
      </c>
      <c r="L87" s="103"/>
      <c r="M87" s="17"/>
      <c r="N87" s="17"/>
      <c r="O87" s="17"/>
      <c r="P87" s="17"/>
      <c r="Q87" s="17"/>
      <c r="R87" s="17"/>
      <c r="S87" s="17"/>
    </row>
    <row r="88" spans="2:19" ht="15.75">
      <c r="B88" s="289" t="s">
        <v>113</v>
      </c>
      <c r="C88" s="290"/>
      <c r="D88" s="290"/>
      <c r="E88" s="290"/>
      <c r="F88" s="291"/>
      <c r="G88" s="70"/>
      <c r="H88" s="115">
        <f t="shared" si="1"/>
        <v>24940</v>
      </c>
      <c r="I88" s="119">
        <f>I87</f>
        <v>24940</v>
      </c>
      <c r="J88" s="119">
        <f>J87</f>
        <v>0</v>
      </c>
      <c r="K88" s="119">
        <f>K87</f>
        <v>0</v>
      </c>
      <c r="L88" s="103"/>
      <c r="M88" s="17"/>
      <c r="N88" s="17"/>
      <c r="O88" s="17"/>
      <c r="P88" s="17"/>
      <c r="Q88" s="17"/>
      <c r="R88" s="17"/>
      <c r="S88" s="17"/>
    </row>
    <row r="89" spans="2:19" ht="105.75" customHeight="1">
      <c r="B89" s="33" t="s">
        <v>79</v>
      </c>
      <c r="C89" s="33" t="s">
        <v>80</v>
      </c>
      <c r="D89" s="19" t="s">
        <v>81</v>
      </c>
      <c r="E89" s="27" t="s">
        <v>82</v>
      </c>
      <c r="F89" s="296" t="s">
        <v>224</v>
      </c>
      <c r="G89" s="296" t="s">
        <v>252</v>
      </c>
      <c r="H89" s="122">
        <f t="shared" si="1"/>
        <v>1240000</v>
      </c>
      <c r="I89" s="117">
        <v>1240000</v>
      </c>
      <c r="J89" s="107">
        <v>0</v>
      </c>
      <c r="K89" s="107">
        <v>0</v>
      </c>
      <c r="L89" s="103"/>
      <c r="M89" s="17"/>
      <c r="N89" s="17"/>
      <c r="O89" s="17"/>
      <c r="P89" s="17"/>
      <c r="Q89" s="17"/>
      <c r="R89" s="17"/>
      <c r="S89" s="17"/>
    </row>
    <row r="90" spans="2:19" ht="44.25" customHeight="1">
      <c r="B90" s="33" t="s">
        <v>83</v>
      </c>
      <c r="C90" s="61">
        <v>3191</v>
      </c>
      <c r="D90" s="61">
        <v>1030</v>
      </c>
      <c r="E90" s="27" t="s">
        <v>84</v>
      </c>
      <c r="F90" s="297"/>
      <c r="G90" s="297"/>
      <c r="H90" s="114">
        <f t="shared" si="1"/>
        <v>33000</v>
      </c>
      <c r="I90" s="117">
        <v>33000</v>
      </c>
      <c r="J90" s="107">
        <v>0</v>
      </c>
      <c r="K90" s="107">
        <v>0</v>
      </c>
      <c r="L90" s="103"/>
      <c r="M90" s="17"/>
      <c r="N90" s="17"/>
      <c r="O90" s="17"/>
      <c r="P90" s="17"/>
      <c r="Q90" s="17"/>
      <c r="R90" s="17"/>
      <c r="S90" s="17"/>
    </row>
    <row r="91" spans="2:19" ht="63" hidden="1">
      <c r="B91" s="33" t="s">
        <v>85</v>
      </c>
      <c r="C91" s="61">
        <v>3192</v>
      </c>
      <c r="D91" s="61">
        <v>1030</v>
      </c>
      <c r="E91" s="27" t="s">
        <v>176</v>
      </c>
      <c r="F91" s="297"/>
      <c r="G91" s="297"/>
      <c r="H91" s="114">
        <f t="shared" si="1"/>
        <v>0</v>
      </c>
      <c r="I91" s="117"/>
      <c r="J91" s="107"/>
      <c r="K91" s="107"/>
      <c r="L91" s="103"/>
      <c r="M91" s="17"/>
      <c r="N91" s="17"/>
      <c r="O91" s="17"/>
      <c r="P91" s="17"/>
      <c r="Q91" s="17"/>
      <c r="R91" s="17"/>
      <c r="S91" s="17"/>
    </row>
    <row r="92" spans="2:19" ht="41.25" customHeight="1">
      <c r="B92" s="33" t="s">
        <v>86</v>
      </c>
      <c r="C92" s="61">
        <v>3242</v>
      </c>
      <c r="D92" s="61">
        <v>1090</v>
      </c>
      <c r="E92" s="27" t="s">
        <v>49</v>
      </c>
      <c r="F92" s="298"/>
      <c r="G92" s="297"/>
      <c r="H92" s="114">
        <f t="shared" si="1"/>
        <v>948680</v>
      </c>
      <c r="I92" s="107">
        <f>448680+500000</f>
        <v>948680</v>
      </c>
      <c r="J92" s="107">
        <v>0</v>
      </c>
      <c r="K92" s="107">
        <v>0</v>
      </c>
      <c r="L92" s="103"/>
      <c r="M92" s="17"/>
      <c r="N92" s="17"/>
      <c r="O92" s="17"/>
      <c r="P92" s="17"/>
      <c r="Q92" s="17"/>
      <c r="R92" s="17"/>
      <c r="S92" s="17"/>
    </row>
    <row r="93" spans="2:19" ht="18.75" customHeight="1" hidden="1">
      <c r="B93" s="33"/>
      <c r="C93" s="33"/>
      <c r="D93" s="19"/>
      <c r="E93" s="27"/>
      <c r="F93" s="69"/>
      <c r="G93" s="89"/>
      <c r="H93" s="114"/>
      <c r="I93" s="117"/>
      <c r="J93" s="116"/>
      <c r="K93" s="116"/>
      <c r="L93" s="103"/>
      <c r="M93" s="17"/>
      <c r="N93" s="17"/>
      <c r="O93" s="17"/>
      <c r="P93" s="17"/>
      <c r="Q93" s="17"/>
      <c r="R93" s="17"/>
      <c r="S93" s="17"/>
    </row>
    <row r="94" spans="2:19" ht="18.75" customHeight="1" hidden="1">
      <c r="B94" s="33"/>
      <c r="C94" s="19"/>
      <c r="D94" s="19"/>
      <c r="E94" s="27"/>
      <c r="F94" s="69"/>
      <c r="G94" s="90"/>
      <c r="H94" s="114"/>
      <c r="I94" s="117"/>
      <c r="J94" s="116"/>
      <c r="K94" s="116"/>
      <c r="L94" s="103"/>
      <c r="M94" s="17"/>
      <c r="N94" s="17"/>
      <c r="O94" s="17"/>
      <c r="P94" s="17"/>
      <c r="Q94" s="17"/>
      <c r="R94" s="17"/>
      <c r="S94" s="17"/>
    </row>
    <row r="95" spans="2:19" ht="15.75">
      <c r="B95" s="289" t="s">
        <v>113</v>
      </c>
      <c r="C95" s="290"/>
      <c r="D95" s="290"/>
      <c r="E95" s="290"/>
      <c r="F95" s="291"/>
      <c r="G95" s="64"/>
      <c r="H95" s="115">
        <f aca="true" t="shared" si="2" ref="H95:H153">I95+J95</f>
        <v>2221680</v>
      </c>
      <c r="I95" s="108">
        <f>I89+I90+I91+I92</f>
        <v>2221680</v>
      </c>
      <c r="J95" s="108">
        <f>J89+J90+J91+J92</f>
        <v>0</v>
      </c>
      <c r="K95" s="108">
        <f>K89+K90+K91+K92</f>
        <v>0</v>
      </c>
      <c r="L95" s="103"/>
      <c r="M95" s="17"/>
      <c r="N95" s="17"/>
      <c r="O95" s="17"/>
      <c r="P95" s="17"/>
      <c r="Q95" s="17"/>
      <c r="R95" s="17"/>
      <c r="S95" s="17"/>
    </row>
    <row r="96" spans="2:19" ht="252">
      <c r="B96" s="33" t="s">
        <v>86</v>
      </c>
      <c r="C96" s="61">
        <v>3242</v>
      </c>
      <c r="D96" s="61">
        <v>1090</v>
      </c>
      <c r="E96" s="27" t="s">
        <v>49</v>
      </c>
      <c r="F96" s="88" t="s">
        <v>204</v>
      </c>
      <c r="G96" s="88" t="s">
        <v>253</v>
      </c>
      <c r="H96" s="114">
        <f t="shared" si="2"/>
        <v>1400000</v>
      </c>
      <c r="I96" s="107">
        <f>680000+720000</f>
        <v>1400000</v>
      </c>
      <c r="J96" s="107">
        <v>0</v>
      </c>
      <c r="K96" s="107">
        <v>0</v>
      </c>
      <c r="L96" s="103"/>
      <c r="M96" s="17"/>
      <c r="N96" s="17"/>
      <c r="O96" s="17"/>
      <c r="P96" s="17"/>
      <c r="Q96" s="17"/>
      <c r="R96" s="17"/>
      <c r="S96" s="17"/>
    </row>
    <row r="97" spans="2:19" ht="15.75">
      <c r="B97" s="289" t="s">
        <v>113</v>
      </c>
      <c r="C97" s="290"/>
      <c r="D97" s="290"/>
      <c r="E97" s="290"/>
      <c r="F97" s="291"/>
      <c r="G97" s="64"/>
      <c r="H97" s="115">
        <f t="shared" si="2"/>
        <v>1400000</v>
      </c>
      <c r="I97" s="108">
        <f>I96</f>
        <v>1400000</v>
      </c>
      <c r="J97" s="108">
        <f>J96</f>
        <v>0</v>
      </c>
      <c r="K97" s="108">
        <f>K96</f>
        <v>0</v>
      </c>
      <c r="L97" s="103"/>
      <c r="M97" s="17"/>
      <c r="N97" s="17"/>
      <c r="O97" s="17"/>
      <c r="P97" s="17"/>
      <c r="Q97" s="17"/>
      <c r="R97" s="17"/>
      <c r="S97" s="17"/>
    </row>
    <row r="98" spans="2:19" ht="96.75" customHeight="1">
      <c r="B98" s="33" t="s">
        <v>205</v>
      </c>
      <c r="C98" s="34">
        <v>3140</v>
      </c>
      <c r="D98" s="19" t="s">
        <v>48</v>
      </c>
      <c r="E98" s="27" t="s">
        <v>206</v>
      </c>
      <c r="F98" s="88" t="s">
        <v>227</v>
      </c>
      <c r="G98" s="88" t="s">
        <v>254</v>
      </c>
      <c r="H98" s="114">
        <f t="shared" si="2"/>
        <v>60000</v>
      </c>
      <c r="I98" s="107">
        <v>60000</v>
      </c>
      <c r="J98" s="107">
        <v>0</v>
      </c>
      <c r="K98" s="107">
        <v>0</v>
      </c>
      <c r="L98" s="103"/>
      <c r="M98" s="17"/>
      <c r="N98" s="17"/>
      <c r="O98" s="17"/>
      <c r="P98" s="17"/>
      <c r="Q98" s="17"/>
      <c r="R98" s="17"/>
      <c r="S98" s="17"/>
    </row>
    <row r="99" spans="2:19" ht="15.75">
      <c r="B99" s="289" t="s">
        <v>113</v>
      </c>
      <c r="C99" s="290"/>
      <c r="D99" s="290"/>
      <c r="E99" s="290"/>
      <c r="F99" s="291"/>
      <c r="G99" s="64"/>
      <c r="H99" s="115">
        <f t="shared" si="2"/>
        <v>60000</v>
      </c>
      <c r="I99" s="108">
        <f>I98</f>
        <v>60000</v>
      </c>
      <c r="J99" s="108">
        <f>J98</f>
        <v>0</v>
      </c>
      <c r="K99" s="108">
        <f>K98</f>
        <v>0</v>
      </c>
      <c r="L99" s="103"/>
      <c r="M99" s="17"/>
      <c r="N99" s="17"/>
      <c r="O99" s="17"/>
      <c r="P99" s="17"/>
      <c r="Q99" s="17"/>
      <c r="R99" s="17"/>
      <c r="S99" s="17"/>
    </row>
    <row r="100" spans="2:19" ht="135.75" customHeight="1" hidden="1">
      <c r="B100" s="33" t="s">
        <v>86</v>
      </c>
      <c r="C100" s="61"/>
      <c r="D100" s="61"/>
      <c r="E100" s="27"/>
      <c r="F100" s="88"/>
      <c r="G100" s="88"/>
      <c r="H100" s="114"/>
      <c r="I100" s="107"/>
      <c r="J100" s="108"/>
      <c r="K100" s="108"/>
      <c r="L100" s="103"/>
      <c r="M100" s="17"/>
      <c r="N100" s="17"/>
      <c r="O100" s="17"/>
      <c r="P100" s="17"/>
      <c r="Q100" s="17"/>
      <c r="R100" s="17"/>
      <c r="S100" s="17"/>
    </row>
    <row r="101" spans="2:19" ht="15.75" hidden="1">
      <c r="B101" s="289" t="s">
        <v>113</v>
      </c>
      <c r="C101" s="290"/>
      <c r="D101" s="290"/>
      <c r="E101" s="290"/>
      <c r="F101" s="291"/>
      <c r="G101" s="64"/>
      <c r="H101" s="114">
        <f t="shared" si="2"/>
        <v>0</v>
      </c>
      <c r="I101" s="108">
        <f>I100</f>
        <v>0</v>
      </c>
      <c r="J101" s="108">
        <f>J100</f>
        <v>0</v>
      </c>
      <c r="K101" s="108">
        <f>K100</f>
        <v>0</v>
      </c>
      <c r="L101" s="103"/>
      <c r="M101" s="17"/>
      <c r="N101" s="17"/>
      <c r="O101" s="17"/>
      <c r="P101" s="17"/>
      <c r="Q101" s="17"/>
      <c r="R101" s="17"/>
      <c r="S101" s="17"/>
    </row>
    <row r="102" spans="2:19" ht="63">
      <c r="B102" s="33" t="s">
        <v>481</v>
      </c>
      <c r="C102" s="61">
        <v>3230</v>
      </c>
      <c r="D102" s="61">
        <v>1070</v>
      </c>
      <c r="E102" s="85" t="s">
        <v>480</v>
      </c>
      <c r="F102" s="88" t="s">
        <v>482</v>
      </c>
      <c r="G102" s="88" t="s">
        <v>485</v>
      </c>
      <c r="H102" s="115">
        <f t="shared" si="2"/>
        <v>300000</v>
      </c>
      <c r="I102" s="107">
        <v>300000</v>
      </c>
      <c r="J102" s="107">
        <v>0</v>
      </c>
      <c r="K102" s="107">
        <v>0</v>
      </c>
      <c r="L102" s="103"/>
      <c r="M102" s="17"/>
      <c r="N102" s="17"/>
      <c r="O102" s="17"/>
      <c r="P102" s="17"/>
      <c r="Q102" s="17"/>
      <c r="R102" s="17"/>
      <c r="S102" s="17"/>
    </row>
    <row r="103" spans="2:19" ht="15.75">
      <c r="B103" s="289" t="s">
        <v>113</v>
      </c>
      <c r="C103" s="290"/>
      <c r="D103" s="290"/>
      <c r="E103" s="290"/>
      <c r="F103" s="291"/>
      <c r="G103" s="64"/>
      <c r="H103" s="115">
        <f t="shared" si="2"/>
        <v>300000</v>
      </c>
      <c r="I103" s="108">
        <f>I102</f>
        <v>300000</v>
      </c>
      <c r="J103" s="108">
        <f>J102</f>
        <v>0</v>
      </c>
      <c r="K103" s="108">
        <f>K102</f>
        <v>0</v>
      </c>
      <c r="L103" s="103"/>
      <c r="M103" s="17"/>
      <c r="N103" s="17"/>
      <c r="O103" s="17"/>
      <c r="P103" s="17"/>
      <c r="Q103" s="17"/>
      <c r="R103" s="17"/>
      <c r="S103" s="17"/>
    </row>
    <row r="104" spans="2:19" ht="15.75">
      <c r="B104" s="58" t="s">
        <v>87</v>
      </c>
      <c r="C104" s="58"/>
      <c r="D104" s="35"/>
      <c r="E104" s="59" t="s">
        <v>192</v>
      </c>
      <c r="F104" s="65"/>
      <c r="G104" s="64"/>
      <c r="H104" s="101">
        <f t="shared" si="2"/>
        <v>17121200</v>
      </c>
      <c r="I104" s="108">
        <f>I105</f>
        <v>17007700</v>
      </c>
      <c r="J104" s="108">
        <f>J105</f>
        <v>113500</v>
      </c>
      <c r="K104" s="108">
        <f>K105</f>
        <v>113500</v>
      </c>
      <c r="L104" s="103"/>
      <c r="M104" s="17"/>
      <c r="N104" s="17"/>
      <c r="O104" s="17"/>
      <c r="P104" s="17"/>
      <c r="Q104" s="17"/>
      <c r="R104" s="17"/>
      <c r="S104" s="17"/>
    </row>
    <row r="105" spans="2:19" ht="15.75">
      <c r="B105" s="33" t="s">
        <v>88</v>
      </c>
      <c r="C105" s="33"/>
      <c r="D105" s="34"/>
      <c r="E105" s="27" t="s">
        <v>192</v>
      </c>
      <c r="F105" s="35"/>
      <c r="G105" s="66"/>
      <c r="H105" s="104">
        <f t="shared" si="2"/>
        <v>17121200</v>
      </c>
      <c r="I105" s="107">
        <f>I113+I117</f>
        <v>17007700</v>
      </c>
      <c r="J105" s="107">
        <f>J113+J117</f>
        <v>113500</v>
      </c>
      <c r="K105" s="107">
        <f>K113+K117</f>
        <v>113500</v>
      </c>
      <c r="L105" s="103"/>
      <c r="M105" s="17"/>
      <c r="N105" s="17"/>
      <c r="O105" s="17"/>
      <c r="P105" s="17"/>
      <c r="Q105" s="17"/>
      <c r="R105" s="17"/>
      <c r="S105" s="17"/>
    </row>
    <row r="106" spans="2:19" ht="63" customHeight="1" hidden="1">
      <c r="B106" s="33"/>
      <c r="C106" s="19"/>
      <c r="D106" s="19"/>
      <c r="E106" s="34"/>
      <c r="F106" s="296" t="s">
        <v>247</v>
      </c>
      <c r="G106" s="296" t="s">
        <v>0</v>
      </c>
      <c r="H106" s="104">
        <f t="shared" si="2"/>
        <v>0</v>
      </c>
      <c r="I106" s="117"/>
      <c r="J106" s="107"/>
      <c r="K106" s="107"/>
      <c r="L106" s="103"/>
      <c r="M106" s="17"/>
      <c r="N106" s="17"/>
      <c r="O106" s="17"/>
      <c r="P106" s="17"/>
      <c r="Q106" s="17"/>
      <c r="R106" s="17"/>
      <c r="S106" s="17"/>
    </row>
    <row r="107" spans="2:19" ht="31.5">
      <c r="B107" s="33" t="s">
        <v>162</v>
      </c>
      <c r="C107" s="61">
        <v>1080</v>
      </c>
      <c r="D107" s="33" t="s">
        <v>57</v>
      </c>
      <c r="E107" s="85" t="s">
        <v>122</v>
      </c>
      <c r="F107" s="297"/>
      <c r="G107" s="297"/>
      <c r="H107" s="104">
        <f t="shared" si="2"/>
        <v>2869300</v>
      </c>
      <c r="I107" s="117">
        <f>2626900+175000+3600+63800</f>
        <v>2869300</v>
      </c>
      <c r="J107" s="107">
        <v>0</v>
      </c>
      <c r="K107" s="107">
        <v>0</v>
      </c>
      <c r="L107" s="103"/>
      <c r="M107" s="17"/>
      <c r="N107" s="17"/>
      <c r="O107" s="17"/>
      <c r="P107" s="17"/>
      <c r="Q107" s="17"/>
      <c r="R107" s="17"/>
      <c r="S107" s="17"/>
    </row>
    <row r="108" spans="2:19" ht="15.75" hidden="1">
      <c r="B108" s="33"/>
      <c r="C108" s="61"/>
      <c r="D108" s="33"/>
      <c r="E108" s="85"/>
      <c r="F108" s="297"/>
      <c r="G108" s="297"/>
      <c r="H108" s="104"/>
      <c r="I108" s="117"/>
      <c r="J108" s="107"/>
      <c r="K108" s="107"/>
      <c r="L108" s="103"/>
      <c r="M108" s="17"/>
      <c r="N108" s="17"/>
      <c r="O108" s="17"/>
      <c r="P108" s="17"/>
      <c r="Q108" s="17"/>
      <c r="R108" s="17"/>
      <c r="S108" s="17"/>
    </row>
    <row r="109" spans="2:19" ht="15.75">
      <c r="B109" s="33" t="s">
        <v>89</v>
      </c>
      <c r="C109" s="61">
        <v>4030</v>
      </c>
      <c r="D109" s="33" t="s">
        <v>90</v>
      </c>
      <c r="E109" s="27" t="s">
        <v>91</v>
      </c>
      <c r="F109" s="297"/>
      <c r="G109" s="297"/>
      <c r="H109" s="104">
        <f t="shared" si="2"/>
        <v>4632900</v>
      </c>
      <c r="I109" s="117">
        <f>3684500+229800+668700</f>
        <v>4583000</v>
      </c>
      <c r="J109" s="107">
        <v>49900</v>
      </c>
      <c r="K109" s="107">
        <v>49900</v>
      </c>
      <c r="L109" s="103"/>
      <c r="M109" s="17"/>
      <c r="N109" s="17"/>
      <c r="O109" s="17"/>
      <c r="P109" s="17"/>
      <c r="Q109" s="17"/>
      <c r="R109" s="17"/>
      <c r="S109" s="17"/>
    </row>
    <row r="110" spans="2:19" ht="15.75">
      <c r="B110" s="33" t="s">
        <v>92</v>
      </c>
      <c r="C110" s="61">
        <v>4040</v>
      </c>
      <c r="D110" s="33" t="s">
        <v>90</v>
      </c>
      <c r="E110" s="27" t="s">
        <v>93</v>
      </c>
      <c r="F110" s="297"/>
      <c r="G110" s="297"/>
      <c r="H110" s="104">
        <f t="shared" si="2"/>
        <v>773700</v>
      </c>
      <c r="I110" s="117">
        <f>688300+3700+81700</f>
        <v>773700</v>
      </c>
      <c r="J110" s="107">
        <v>0</v>
      </c>
      <c r="K110" s="107">
        <v>0</v>
      </c>
      <c r="L110" s="103"/>
      <c r="M110" s="17"/>
      <c r="N110" s="17"/>
      <c r="O110" s="17"/>
      <c r="P110" s="17"/>
      <c r="Q110" s="17"/>
      <c r="R110" s="17"/>
      <c r="S110" s="17"/>
    </row>
    <row r="111" spans="2:19" ht="47.25">
      <c r="B111" s="33" t="s">
        <v>94</v>
      </c>
      <c r="C111" s="61">
        <v>4060</v>
      </c>
      <c r="D111" s="33" t="s">
        <v>95</v>
      </c>
      <c r="E111" s="27" t="s">
        <v>96</v>
      </c>
      <c r="F111" s="297"/>
      <c r="G111" s="297"/>
      <c r="H111" s="104">
        <f t="shared" si="2"/>
        <v>8193100</v>
      </c>
      <c r="I111" s="117">
        <f>7122000+278900+15000+777200+(-63600)</f>
        <v>8129500</v>
      </c>
      <c r="J111" s="107">
        <v>63600</v>
      </c>
      <c r="K111" s="107">
        <v>63600</v>
      </c>
      <c r="L111" s="103"/>
      <c r="M111" s="17"/>
      <c r="N111" s="17"/>
      <c r="O111" s="17"/>
      <c r="P111" s="17"/>
      <c r="Q111" s="17"/>
      <c r="R111" s="17"/>
      <c r="S111" s="17"/>
    </row>
    <row r="112" spans="2:19" ht="31.5">
      <c r="B112" s="33" t="s">
        <v>97</v>
      </c>
      <c r="C112" s="61">
        <v>4081</v>
      </c>
      <c r="D112" s="33" t="s">
        <v>98</v>
      </c>
      <c r="E112" s="27" t="s">
        <v>99</v>
      </c>
      <c r="F112" s="298"/>
      <c r="G112" s="298"/>
      <c r="H112" s="104">
        <f t="shared" si="2"/>
        <v>552200</v>
      </c>
      <c r="I112" s="117">
        <f>542500+9700</f>
        <v>552200</v>
      </c>
      <c r="J112" s="107">
        <v>0</v>
      </c>
      <c r="K112" s="107">
        <v>0</v>
      </c>
      <c r="L112" s="103"/>
      <c r="M112" s="17"/>
      <c r="N112" s="17"/>
      <c r="O112" s="17"/>
      <c r="P112" s="17"/>
      <c r="Q112" s="17"/>
      <c r="R112" s="17"/>
      <c r="S112" s="17"/>
    </row>
    <row r="113" spans="2:19" ht="15.75">
      <c r="B113" s="289" t="s">
        <v>113</v>
      </c>
      <c r="C113" s="290"/>
      <c r="D113" s="290"/>
      <c r="E113" s="290"/>
      <c r="F113" s="291"/>
      <c r="G113" s="60"/>
      <c r="H113" s="101">
        <f t="shared" si="2"/>
        <v>17021200</v>
      </c>
      <c r="I113" s="108">
        <f>I107+I109+I110+I111+I112</f>
        <v>16907700</v>
      </c>
      <c r="J113" s="108">
        <f>J107+J109+J110+J111+J112</f>
        <v>113500</v>
      </c>
      <c r="K113" s="108">
        <f>K107+K109+K110+K111+K112</f>
        <v>113500</v>
      </c>
      <c r="L113" s="103"/>
      <c r="M113" s="17"/>
      <c r="N113" s="17"/>
      <c r="O113" s="17"/>
      <c r="P113" s="17"/>
      <c r="Q113" s="17"/>
      <c r="R113" s="17"/>
      <c r="S113" s="17"/>
    </row>
    <row r="114" spans="2:19" ht="15.75">
      <c r="B114" s="33" t="s">
        <v>89</v>
      </c>
      <c r="C114" s="61">
        <v>4030</v>
      </c>
      <c r="D114" s="33" t="s">
        <v>90</v>
      </c>
      <c r="E114" s="27" t="s">
        <v>91</v>
      </c>
      <c r="F114" s="293" t="s">
        <v>293</v>
      </c>
      <c r="G114" s="293" t="s">
        <v>294</v>
      </c>
      <c r="H114" s="104">
        <f t="shared" si="2"/>
        <v>35000</v>
      </c>
      <c r="I114" s="107">
        <v>35000</v>
      </c>
      <c r="J114" s="107">
        <v>0</v>
      </c>
      <c r="K114" s="107">
        <v>0</v>
      </c>
      <c r="L114" s="103"/>
      <c r="M114" s="17"/>
      <c r="N114" s="17"/>
      <c r="O114" s="17"/>
      <c r="P114" s="17"/>
      <c r="Q114" s="17"/>
      <c r="R114" s="17"/>
      <c r="S114" s="17"/>
    </row>
    <row r="115" spans="2:19" ht="15.75">
      <c r="B115" s="33" t="s">
        <v>92</v>
      </c>
      <c r="C115" s="61">
        <v>4040</v>
      </c>
      <c r="D115" s="33" t="s">
        <v>90</v>
      </c>
      <c r="E115" s="27" t="s">
        <v>93</v>
      </c>
      <c r="F115" s="295"/>
      <c r="G115" s="295"/>
      <c r="H115" s="104">
        <f t="shared" si="2"/>
        <v>30000</v>
      </c>
      <c r="I115" s="107">
        <v>30000</v>
      </c>
      <c r="J115" s="107">
        <v>0</v>
      </c>
      <c r="K115" s="107">
        <v>0</v>
      </c>
      <c r="L115" s="103"/>
      <c r="M115" s="17"/>
      <c r="N115" s="17"/>
      <c r="O115" s="17"/>
      <c r="P115" s="17"/>
      <c r="Q115" s="17"/>
      <c r="R115" s="17"/>
      <c r="S115" s="17"/>
    </row>
    <row r="116" spans="2:19" ht="115.5" customHeight="1">
      <c r="B116" s="33" t="s">
        <v>94</v>
      </c>
      <c r="C116" s="61">
        <v>4060</v>
      </c>
      <c r="D116" s="33" t="s">
        <v>95</v>
      </c>
      <c r="E116" s="27" t="s">
        <v>96</v>
      </c>
      <c r="F116" s="294"/>
      <c r="G116" s="294"/>
      <c r="H116" s="104">
        <f t="shared" si="2"/>
        <v>35000</v>
      </c>
      <c r="I116" s="107">
        <v>35000</v>
      </c>
      <c r="J116" s="107">
        <v>0</v>
      </c>
      <c r="K116" s="107">
        <v>0</v>
      </c>
      <c r="L116" s="103"/>
      <c r="M116" s="17"/>
      <c r="N116" s="17"/>
      <c r="O116" s="17"/>
      <c r="P116" s="17"/>
      <c r="Q116" s="17"/>
      <c r="R116" s="17"/>
      <c r="S116" s="17"/>
    </row>
    <row r="117" spans="2:19" ht="15.75">
      <c r="B117" s="289" t="s">
        <v>113</v>
      </c>
      <c r="C117" s="290"/>
      <c r="D117" s="290"/>
      <c r="E117" s="290"/>
      <c r="F117" s="291"/>
      <c r="G117" s="60"/>
      <c r="H117" s="101">
        <f t="shared" si="2"/>
        <v>100000</v>
      </c>
      <c r="I117" s="108">
        <f>I114+I115+I116</f>
        <v>100000</v>
      </c>
      <c r="J117" s="108">
        <f>J114+J115+J116</f>
        <v>0</v>
      </c>
      <c r="K117" s="108">
        <f>K114+K115+K116</f>
        <v>0</v>
      </c>
      <c r="L117" s="103"/>
      <c r="M117" s="17"/>
      <c r="N117" s="17"/>
      <c r="O117" s="17"/>
      <c r="P117" s="17"/>
      <c r="Q117" s="17"/>
      <c r="R117" s="17"/>
      <c r="S117" s="17"/>
    </row>
    <row r="118" spans="2:19" ht="15.75" hidden="1">
      <c r="B118" s="181"/>
      <c r="C118" s="182"/>
      <c r="D118" s="182"/>
      <c r="E118" s="182"/>
      <c r="F118" s="71"/>
      <c r="G118" s="60"/>
      <c r="H118" s="101"/>
      <c r="I118" s="108"/>
      <c r="J118" s="108"/>
      <c r="K118" s="108"/>
      <c r="L118" s="103"/>
      <c r="M118" s="17"/>
      <c r="N118" s="17"/>
      <c r="O118" s="17"/>
      <c r="P118" s="17"/>
      <c r="Q118" s="17"/>
      <c r="R118" s="17"/>
      <c r="S118" s="17"/>
    </row>
    <row r="119" spans="2:19" ht="15.75">
      <c r="B119" s="58" t="s">
        <v>154</v>
      </c>
      <c r="C119" s="33"/>
      <c r="D119" s="19"/>
      <c r="E119" s="59" t="s">
        <v>198</v>
      </c>
      <c r="F119" s="71"/>
      <c r="G119" s="60"/>
      <c r="H119" s="101">
        <f t="shared" si="2"/>
        <v>5975522.22</v>
      </c>
      <c r="I119" s="108">
        <f>I120</f>
        <v>5975522.22</v>
      </c>
      <c r="J119" s="108">
        <f>J120</f>
        <v>0</v>
      </c>
      <c r="K119" s="108">
        <f>K120</f>
        <v>0</v>
      </c>
      <c r="L119" s="103"/>
      <c r="M119" s="17"/>
      <c r="N119" s="17"/>
      <c r="O119" s="17"/>
      <c r="P119" s="17"/>
      <c r="Q119" s="17"/>
      <c r="R119" s="17"/>
      <c r="S119" s="17"/>
    </row>
    <row r="120" spans="2:19" ht="15.75">
      <c r="B120" s="33" t="s">
        <v>155</v>
      </c>
      <c r="C120" s="33"/>
      <c r="D120" s="19"/>
      <c r="E120" s="27" t="s">
        <v>198</v>
      </c>
      <c r="F120" s="71"/>
      <c r="G120" s="60"/>
      <c r="H120" s="104">
        <f t="shared" si="2"/>
        <v>5975522.22</v>
      </c>
      <c r="I120" s="107">
        <f>I126</f>
        <v>5975522.22</v>
      </c>
      <c r="J120" s="107">
        <f>J126</f>
        <v>0</v>
      </c>
      <c r="K120" s="107">
        <f>K126</f>
        <v>0</v>
      </c>
      <c r="L120" s="103"/>
      <c r="M120" s="17"/>
      <c r="N120" s="17"/>
      <c r="O120" s="17"/>
      <c r="P120" s="17"/>
      <c r="Q120" s="17"/>
      <c r="R120" s="17"/>
      <c r="S120" s="17"/>
    </row>
    <row r="121" spans="2:19" ht="63" customHeight="1" hidden="1">
      <c r="B121" s="33"/>
      <c r="C121" s="19"/>
      <c r="D121" s="19"/>
      <c r="E121" s="34"/>
      <c r="F121" s="296" t="s">
        <v>223</v>
      </c>
      <c r="G121" s="296" t="s">
        <v>207</v>
      </c>
      <c r="H121" s="104">
        <f t="shared" si="2"/>
        <v>0</v>
      </c>
      <c r="I121" s="117"/>
      <c r="J121" s="108"/>
      <c r="K121" s="108"/>
      <c r="L121" s="103"/>
      <c r="M121" s="17"/>
      <c r="N121" s="17"/>
      <c r="O121" s="17"/>
      <c r="P121" s="17"/>
      <c r="Q121" s="17"/>
      <c r="R121" s="17"/>
      <c r="S121" s="17"/>
    </row>
    <row r="122" spans="2:19" ht="47.25">
      <c r="B122" s="34">
        <v>1115011</v>
      </c>
      <c r="C122" s="61">
        <v>5011</v>
      </c>
      <c r="D122" s="33" t="s">
        <v>61</v>
      </c>
      <c r="E122" s="27" t="s">
        <v>62</v>
      </c>
      <c r="F122" s="297"/>
      <c r="G122" s="297"/>
      <c r="H122" s="104">
        <f t="shared" si="2"/>
        <v>651200</v>
      </c>
      <c r="I122" s="117">
        <f>50000+70000+150000+64200+117000+200000</f>
        <v>651200</v>
      </c>
      <c r="J122" s="107">
        <v>0</v>
      </c>
      <c r="K122" s="107">
        <v>0</v>
      </c>
      <c r="L122" s="103"/>
      <c r="M122" s="17"/>
      <c r="N122" s="17"/>
      <c r="O122" s="17"/>
      <c r="P122" s="17"/>
      <c r="Q122" s="17"/>
      <c r="R122" s="17"/>
      <c r="S122" s="17"/>
    </row>
    <row r="123" spans="2:19" ht="47.25">
      <c r="B123" s="34">
        <v>1115031</v>
      </c>
      <c r="C123" s="34">
        <v>5031</v>
      </c>
      <c r="D123" s="33" t="s">
        <v>61</v>
      </c>
      <c r="E123" s="27" t="s">
        <v>63</v>
      </c>
      <c r="F123" s="297"/>
      <c r="G123" s="297"/>
      <c r="H123" s="104">
        <f t="shared" si="2"/>
        <v>5238522.22</v>
      </c>
      <c r="I123" s="117">
        <f>4803700+4416.22+340000+70000+20406</f>
        <v>5238522.22</v>
      </c>
      <c r="J123" s="107">
        <v>0</v>
      </c>
      <c r="K123" s="107">
        <v>0</v>
      </c>
      <c r="L123" s="103"/>
      <c r="M123" s="17"/>
      <c r="N123" s="17"/>
      <c r="O123" s="17"/>
      <c r="P123" s="17"/>
      <c r="Q123" s="17"/>
      <c r="R123" s="17"/>
      <c r="S123" s="17"/>
    </row>
    <row r="124" spans="2:19" ht="47.25">
      <c r="B124" s="34">
        <v>1115062</v>
      </c>
      <c r="C124" s="34">
        <v>5062</v>
      </c>
      <c r="D124" s="33" t="s">
        <v>61</v>
      </c>
      <c r="E124" s="27" t="s">
        <v>64</v>
      </c>
      <c r="F124" s="297"/>
      <c r="G124" s="297"/>
      <c r="H124" s="104">
        <f t="shared" si="2"/>
        <v>85800</v>
      </c>
      <c r="I124" s="117">
        <f>150000+(-64200)</f>
        <v>85800</v>
      </c>
      <c r="J124" s="107">
        <v>0</v>
      </c>
      <c r="K124" s="107">
        <v>0</v>
      </c>
      <c r="L124" s="103"/>
      <c r="M124" s="17"/>
      <c r="N124" s="17"/>
      <c r="O124" s="17"/>
      <c r="P124" s="17"/>
      <c r="Q124" s="17"/>
      <c r="R124" s="17"/>
      <c r="S124" s="17"/>
    </row>
    <row r="125" spans="2:19" ht="18.75" customHeight="1" hidden="1">
      <c r="B125" s="34"/>
      <c r="C125" s="34"/>
      <c r="D125" s="33"/>
      <c r="E125" s="27"/>
      <c r="F125" s="298"/>
      <c r="G125" s="298"/>
      <c r="H125" s="104">
        <f t="shared" si="2"/>
        <v>0</v>
      </c>
      <c r="I125" s="117"/>
      <c r="J125" s="108"/>
      <c r="K125" s="108"/>
      <c r="L125" s="103"/>
      <c r="M125" s="17"/>
      <c r="N125" s="17"/>
      <c r="O125" s="17"/>
      <c r="P125" s="17"/>
      <c r="Q125" s="17"/>
      <c r="R125" s="17"/>
      <c r="S125" s="17"/>
    </row>
    <row r="126" spans="2:19" ht="15.75">
      <c r="B126" s="289" t="s">
        <v>113</v>
      </c>
      <c r="C126" s="290"/>
      <c r="D126" s="290"/>
      <c r="E126" s="290"/>
      <c r="F126" s="291"/>
      <c r="G126" s="64"/>
      <c r="H126" s="101">
        <f t="shared" si="2"/>
        <v>5975522.22</v>
      </c>
      <c r="I126" s="108">
        <f>I122+I123+I124</f>
        <v>5975522.22</v>
      </c>
      <c r="J126" s="108">
        <f>J122+J123+J124</f>
        <v>0</v>
      </c>
      <c r="K126" s="108">
        <f>K122+K123+K124</f>
        <v>0</v>
      </c>
      <c r="L126" s="103"/>
      <c r="M126" s="17"/>
      <c r="N126" s="17"/>
      <c r="O126" s="17"/>
      <c r="P126" s="17"/>
      <c r="Q126" s="17"/>
      <c r="R126" s="17"/>
      <c r="S126" s="17"/>
    </row>
    <row r="127" spans="2:19" ht="47.25">
      <c r="B127" s="58" t="s">
        <v>208</v>
      </c>
      <c r="C127" s="61"/>
      <c r="D127" s="33"/>
      <c r="E127" s="91" t="s">
        <v>209</v>
      </c>
      <c r="F127" s="71"/>
      <c r="G127" s="64"/>
      <c r="H127" s="101">
        <f t="shared" si="2"/>
        <v>29602209.91</v>
      </c>
      <c r="I127" s="108">
        <f>I128</f>
        <v>14428830</v>
      </c>
      <c r="J127" s="108">
        <f>J128</f>
        <v>15173379.91</v>
      </c>
      <c r="K127" s="108">
        <f>K128</f>
        <v>14795000</v>
      </c>
      <c r="L127" s="103"/>
      <c r="M127" s="17"/>
      <c r="N127" s="17"/>
      <c r="O127" s="17"/>
      <c r="P127" s="17"/>
      <c r="Q127" s="17"/>
      <c r="R127" s="17"/>
      <c r="S127" s="17"/>
    </row>
    <row r="128" spans="2:19" ht="47.25">
      <c r="B128" s="33" t="s">
        <v>210</v>
      </c>
      <c r="C128" s="61"/>
      <c r="D128" s="33"/>
      <c r="E128" s="85" t="s">
        <v>211</v>
      </c>
      <c r="F128" s="71"/>
      <c r="G128" s="64"/>
      <c r="H128" s="114">
        <f t="shared" si="2"/>
        <v>29602209.91</v>
      </c>
      <c r="I128" s="107">
        <f>I130+I135+I137+I139+I141+I144</f>
        <v>14428830</v>
      </c>
      <c r="J128" s="107">
        <f>J135+J137+J139+J141+J144</f>
        <v>15173379.91</v>
      </c>
      <c r="K128" s="107">
        <f>K135+K137+K139+K141+K144</f>
        <v>14795000</v>
      </c>
      <c r="L128" s="103"/>
      <c r="M128" s="17"/>
      <c r="N128" s="17"/>
      <c r="O128" s="17"/>
      <c r="P128" s="17"/>
      <c r="Q128" s="17"/>
      <c r="R128" s="17"/>
      <c r="S128" s="17"/>
    </row>
    <row r="129" spans="2:19" ht="141" customHeight="1">
      <c r="B129" s="33" t="s">
        <v>317</v>
      </c>
      <c r="C129" s="19" t="s">
        <v>318</v>
      </c>
      <c r="D129" s="19" t="s">
        <v>320</v>
      </c>
      <c r="E129" s="85" t="s">
        <v>319</v>
      </c>
      <c r="F129" s="88" t="s">
        <v>13</v>
      </c>
      <c r="G129" s="88" t="s">
        <v>2</v>
      </c>
      <c r="H129" s="114">
        <f t="shared" si="2"/>
        <v>100000</v>
      </c>
      <c r="I129" s="107">
        <f>50000+50000</f>
        <v>100000</v>
      </c>
      <c r="J129" s="107">
        <v>0</v>
      </c>
      <c r="K129" s="107">
        <v>0</v>
      </c>
      <c r="L129" s="103"/>
      <c r="M129" s="17"/>
      <c r="N129" s="17"/>
      <c r="O129" s="17"/>
      <c r="P129" s="17"/>
      <c r="Q129" s="17"/>
      <c r="R129" s="17"/>
      <c r="S129" s="17"/>
    </row>
    <row r="130" spans="2:19" ht="15.75">
      <c r="B130" s="289" t="s">
        <v>113</v>
      </c>
      <c r="C130" s="290"/>
      <c r="D130" s="290"/>
      <c r="E130" s="290"/>
      <c r="F130" s="291"/>
      <c r="G130" s="64"/>
      <c r="H130" s="115">
        <f t="shared" si="2"/>
        <v>100000</v>
      </c>
      <c r="I130" s="108">
        <f>I129</f>
        <v>100000</v>
      </c>
      <c r="J130" s="108">
        <f>J129</f>
        <v>0</v>
      </c>
      <c r="K130" s="108">
        <f>K129</f>
        <v>0</v>
      </c>
      <c r="L130" s="103"/>
      <c r="M130" s="17"/>
      <c r="N130" s="17"/>
      <c r="O130" s="17"/>
      <c r="P130" s="17"/>
      <c r="Q130" s="17"/>
      <c r="R130" s="17"/>
      <c r="S130" s="17"/>
    </row>
    <row r="131" spans="2:19" ht="157.5" customHeight="1">
      <c r="B131" s="33" t="s">
        <v>243</v>
      </c>
      <c r="C131" s="34">
        <v>6011</v>
      </c>
      <c r="D131" s="19" t="s">
        <v>241</v>
      </c>
      <c r="E131" s="85" t="s">
        <v>242</v>
      </c>
      <c r="F131" s="293" t="s">
        <v>298</v>
      </c>
      <c r="G131" s="293" t="s">
        <v>309</v>
      </c>
      <c r="H131" s="114">
        <f t="shared" si="2"/>
        <v>5200000</v>
      </c>
      <c r="I131" s="107">
        <f>100000+100000</f>
        <v>200000</v>
      </c>
      <c r="J131" s="107">
        <v>5000000</v>
      </c>
      <c r="K131" s="107">
        <v>5000000</v>
      </c>
      <c r="L131" s="103"/>
      <c r="M131" s="17"/>
      <c r="N131" s="17"/>
      <c r="O131" s="17"/>
      <c r="P131" s="17"/>
      <c r="Q131" s="17"/>
      <c r="R131" s="17"/>
      <c r="S131" s="17"/>
    </row>
    <row r="132" spans="2:19" ht="31.5" hidden="1">
      <c r="B132" s="33" t="s">
        <v>299</v>
      </c>
      <c r="C132" s="34">
        <v>6090</v>
      </c>
      <c r="D132" s="33" t="s">
        <v>301</v>
      </c>
      <c r="E132" s="85" t="s">
        <v>300</v>
      </c>
      <c r="F132" s="295"/>
      <c r="G132" s="295"/>
      <c r="H132" s="114">
        <f t="shared" si="2"/>
        <v>0</v>
      </c>
      <c r="I132" s="107">
        <v>0</v>
      </c>
      <c r="J132" s="107"/>
      <c r="K132" s="107"/>
      <c r="L132" s="103"/>
      <c r="M132" s="17"/>
      <c r="N132" s="17"/>
      <c r="O132" s="17"/>
      <c r="P132" s="17"/>
      <c r="Q132" s="17"/>
      <c r="R132" s="17"/>
      <c r="S132" s="17"/>
    </row>
    <row r="133" spans="2:19" ht="31.5">
      <c r="B133" s="33" t="s">
        <v>303</v>
      </c>
      <c r="C133" s="34">
        <v>7670</v>
      </c>
      <c r="D133" s="33" t="s">
        <v>289</v>
      </c>
      <c r="E133" s="85" t="s">
        <v>304</v>
      </c>
      <c r="F133" s="295"/>
      <c r="G133" s="295"/>
      <c r="H133" s="114">
        <f t="shared" si="2"/>
        <v>1500000</v>
      </c>
      <c r="I133" s="107">
        <v>0</v>
      </c>
      <c r="J133" s="107">
        <v>1500000</v>
      </c>
      <c r="K133" s="107">
        <v>1500000</v>
      </c>
      <c r="L133" s="103"/>
      <c r="M133" s="17"/>
      <c r="N133" s="17"/>
      <c r="O133" s="17"/>
      <c r="P133" s="17"/>
      <c r="Q133" s="17"/>
      <c r="R133" s="17"/>
      <c r="S133" s="17"/>
    </row>
    <row r="134" spans="2:19" ht="31.5">
      <c r="B134" s="33" t="s">
        <v>305</v>
      </c>
      <c r="C134" s="34">
        <v>7693</v>
      </c>
      <c r="D134" s="33" t="s">
        <v>289</v>
      </c>
      <c r="E134" s="85" t="s">
        <v>306</v>
      </c>
      <c r="F134" s="294"/>
      <c r="G134" s="294"/>
      <c r="H134" s="114">
        <f t="shared" si="2"/>
        <v>450000</v>
      </c>
      <c r="I134" s="107">
        <v>200000</v>
      </c>
      <c r="J134" s="107">
        <v>250000</v>
      </c>
      <c r="K134" s="107">
        <v>250000</v>
      </c>
      <c r="L134" s="103"/>
      <c r="M134" s="17"/>
      <c r="N134" s="17"/>
      <c r="O134" s="17"/>
      <c r="P134" s="17"/>
      <c r="Q134" s="17"/>
      <c r="R134" s="17"/>
      <c r="S134" s="17"/>
    </row>
    <row r="135" spans="2:19" ht="15.75">
      <c r="B135" s="289" t="s">
        <v>113</v>
      </c>
      <c r="C135" s="290"/>
      <c r="D135" s="290"/>
      <c r="E135" s="290"/>
      <c r="F135" s="291"/>
      <c r="G135" s="64"/>
      <c r="H135" s="114">
        <f t="shared" si="2"/>
        <v>7150000</v>
      </c>
      <c r="I135" s="107">
        <f>I131+I132+I133+I134</f>
        <v>400000</v>
      </c>
      <c r="J135" s="107">
        <f>J131+J132+J133+J134</f>
        <v>6750000</v>
      </c>
      <c r="K135" s="107">
        <f>K131+K132+K133+K134</f>
        <v>6750000</v>
      </c>
      <c r="L135" s="103"/>
      <c r="M135" s="17"/>
      <c r="N135" s="17"/>
      <c r="O135" s="17"/>
      <c r="P135" s="17"/>
      <c r="Q135" s="17"/>
      <c r="R135" s="17"/>
      <c r="S135" s="17"/>
    </row>
    <row r="136" spans="2:19" ht="208.5" customHeight="1">
      <c r="B136" s="33" t="s">
        <v>213</v>
      </c>
      <c r="C136" s="34">
        <v>7461</v>
      </c>
      <c r="D136" s="33" t="s">
        <v>136</v>
      </c>
      <c r="E136" s="27" t="s">
        <v>142</v>
      </c>
      <c r="F136" s="258" t="s">
        <v>233</v>
      </c>
      <c r="G136" s="82" t="s">
        <v>1</v>
      </c>
      <c r="H136" s="114">
        <f>I136+J136</f>
        <v>5600000</v>
      </c>
      <c r="I136" s="117">
        <f>1500000+3100000+1000000</f>
        <v>5600000</v>
      </c>
      <c r="J136" s="124">
        <v>0</v>
      </c>
      <c r="K136" s="124">
        <v>0</v>
      </c>
      <c r="L136" s="123"/>
      <c r="M136" s="17"/>
      <c r="N136" s="17"/>
      <c r="O136" s="17"/>
      <c r="P136" s="17"/>
      <c r="Q136" s="17"/>
      <c r="R136" s="17"/>
      <c r="S136" s="17"/>
    </row>
    <row r="137" spans="2:19" ht="25.5" customHeight="1">
      <c r="B137" s="289" t="s">
        <v>113</v>
      </c>
      <c r="C137" s="290"/>
      <c r="D137" s="290"/>
      <c r="E137" s="290"/>
      <c r="F137" s="291"/>
      <c r="G137" s="69"/>
      <c r="H137" s="101">
        <f t="shared" si="2"/>
        <v>5600000</v>
      </c>
      <c r="I137" s="119">
        <f>I136</f>
        <v>5600000</v>
      </c>
      <c r="J137" s="119">
        <f>J136</f>
        <v>0</v>
      </c>
      <c r="K137" s="119">
        <f>K136</f>
        <v>0</v>
      </c>
      <c r="L137" s="123"/>
      <c r="M137" s="17"/>
      <c r="N137" s="17"/>
      <c r="O137" s="17"/>
      <c r="P137" s="17"/>
      <c r="Q137" s="17"/>
      <c r="R137" s="17"/>
      <c r="S137" s="17"/>
    </row>
    <row r="138" spans="2:19" ht="138.75" customHeight="1">
      <c r="B138" s="33" t="s">
        <v>214</v>
      </c>
      <c r="C138" s="61">
        <v>8340</v>
      </c>
      <c r="D138" s="33" t="s">
        <v>141</v>
      </c>
      <c r="E138" s="27" t="s">
        <v>140</v>
      </c>
      <c r="F138" s="54" t="s">
        <v>231</v>
      </c>
      <c r="G138" s="20" t="s">
        <v>232</v>
      </c>
      <c r="H138" s="104">
        <f t="shared" si="2"/>
        <v>378379.91</v>
      </c>
      <c r="I138" s="117">
        <v>0</v>
      </c>
      <c r="J138" s="116">
        <f>60000+318379.91</f>
        <v>378379.91</v>
      </c>
      <c r="K138" s="116">
        <v>0</v>
      </c>
      <c r="L138" s="103"/>
      <c r="M138" s="17"/>
      <c r="N138" s="17"/>
      <c r="O138" s="17"/>
      <c r="P138" s="17"/>
      <c r="Q138" s="17"/>
      <c r="R138" s="17"/>
      <c r="S138" s="17"/>
    </row>
    <row r="139" spans="2:19" ht="15.75">
      <c r="B139" s="289" t="s">
        <v>113</v>
      </c>
      <c r="C139" s="290"/>
      <c r="D139" s="290"/>
      <c r="E139" s="290"/>
      <c r="F139" s="291"/>
      <c r="G139" s="64"/>
      <c r="H139" s="101">
        <f t="shared" si="2"/>
        <v>378379.91</v>
      </c>
      <c r="I139" s="108">
        <f>I138</f>
        <v>0</v>
      </c>
      <c r="J139" s="108">
        <f>J138</f>
        <v>378379.91</v>
      </c>
      <c r="K139" s="108">
        <f>K138</f>
        <v>0</v>
      </c>
      <c r="L139" s="103"/>
      <c r="M139" s="17"/>
      <c r="N139" s="17"/>
      <c r="O139" s="17"/>
      <c r="P139" s="17"/>
      <c r="Q139" s="17"/>
      <c r="R139" s="17"/>
      <c r="S139" s="17"/>
    </row>
    <row r="140" spans="2:19" ht="121.5" customHeight="1">
      <c r="B140" s="33" t="s">
        <v>212</v>
      </c>
      <c r="C140" s="34">
        <v>6030</v>
      </c>
      <c r="D140" s="33" t="s">
        <v>135</v>
      </c>
      <c r="E140" s="85" t="s">
        <v>134</v>
      </c>
      <c r="F140" s="75" t="s">
        <v>215</v>
      </c>
      <c r="G140" s="88" t="s">
        <v>250</v>
      </c>
      <c r="H140" s="104">
        <f t="shared" si="2"/>
        <v>7146830</v>
      </c>
      <c r="I140" s="107">
        <f>1700430+2098400+185000+200000+2000000+763000+200000</f>
        <v>7146830</v>
      </c>
      <c r="J140" s="107">
        <v>0</v>
      </c>
      <c r="K140" s="107">
        <v>0</v>
      </c>
      <c r="L140" s="103"/>
      <c r="M140" s="17"/>
      <c r="N140" s="17"/>
      <c r="O140" s="17"/>
      <c r="P140" s="17"/>
      <c r="Q140" s="17"/>
      <c r="R140" s="17"/>
      <c r="S140" s="17"/>
    </row>
    <row r="141" spans="2:19" ht="15.75">
      <c r="B141" s="289" t="s">
        <v>113</v>
      </c>
      <c r="C141" s="290"/>
      <c r="D141" s="290"/>
      <c r="E141" s="290"/>
      <c r="F141" s="291"/>
      <c r="G141" s="64"/>
      <c r="H141" s="101">
        <f t="shared" si="2"/>
        <v>7146830</v>
      </c>
      <c r="I141" s="108">
        <f>I140</f>
        <v>7146830</v>
      </c>
      <c r="J141" s="108">
        <f>J140</f>
        <v>0</v>
      </c>
      <c r="K141" s="108">
        <f>K140</f>
        <v>0</v>
      </c>
      <c r="L141" s="103"/>
      <c r="M141" s="17"/>
      <c r="N141" s="17"/>
      <c r="O141" s="17"/>
      <c r="P141" s="17"/>
      <c r="Q141" s="17"/>
      <c r="R141" s="17"/>
      <c r="S141" s="17"/>
    </row>
    <row r="142" spans="2:19" ht="90.75" customHeight="1">
      <c r="B142" s="33" t="s">
        <v>212</v>
      </c>
      <c r="C142" s="34">
        <v>6030</v>
      </c>
      <c r="D142" s="33" t="s">
        <v>135</v>
      </c>
      <c r="E142" s="85" t="s">
        <v>134</v>
      </c>
      <c r="F142" s="293" t="s">
        <v>248</v>
      </c>
      <c r="G142" s="296" t="s">
        <v>251</v>
      </c>
      <c r="H142" s="104">
        <f t="shared" si="2"/>
        <v>1182000</v>
      </c>
      <c r="I142" s="107">
        <f>1945000+(-763000)</f>
        <v>1182000</v>
      </c>
      <c r="J142" s="107">
        <v>0</v>
      </c>
      <c r="K142" s="107">
        <v>0</v>
      </c>
      <c r="L142" s="103"/>
      <c r="M142" s="17"/>
      <c r="N142" s="17"/>
      <c r="O142" s="17"/>
      <c r="P142" s="17"/>
      <c r="Q142" s="17"/>
      <c r="R142" s="17"/>
      <c r="S142" s="17"/>
    </row>
    <row r="143" spans="2:19" ht="90.75" customHeight="1">
      <c r="B143" s="33" t="s">
        <v>302</v>
      </c>
      <c r="C143" s="34">
        <v>7330</v>
      </c>
      <c r="D143" s="33" t="s">
        <v>291</v>
      </c>
      <c r="E143" s="85" t="s">
        <v>292</v>
      </c>
      <c r="F143" s="294"/>
      <c r="G143" s="298"/>
      <c r="H143" s="104">
        <f t="shared" si="2"/>
        <v>8045000</v>
      </c>
      <c r="I143" s="107">
        <v>0</v>
      </c>
      <c r="J143" s="107">
        <v>8045000</v>
      </c>
      <c r="K143" s="107">
        <v>8045000</v>
      </c>
      <c r="L143" s="103"/>
      <c r="M143" s="17"/>
      <c r="N143" s="17"/>
      <c r="O143" s="17"/>
      <c r="P143" s="17"/>
      <c r="Q143" s="17"/>
      <c r="R143" s="17"/>
      <c r="S143" s="17"/>
    </row>
    <row r="144" spans="2:19" ht="15.75">
      <c r="B144" s="289" t="s">
        <v>113</v>
      </c>
      <c r="C144" s="290"/>
      <c r="D144" s="290"/>
      <c r="E144" s="290"/>
      <c r="F144" s="291"/>
      <c r="G144" s="64"/>
      <c r="H144" s="101">
        <f t="shared" si="2"/>
        <v>9227000</v>
      </c>
      <c r="I144" s="108">
        <f>I142+I143</f>
        <v>1182000</v>
      </c>
      <c r="J144" s="108">
        <f>J142+J143</f>
        <v>8045000</v>
      </c>
      <c r="K144" s="108">
        <f>K142+K143</f>
        <v>8045000</v>
      </c>
      <c r="L144" s="103"/>
      <c r="M144" s="17"/>
      <c r="N144" s="17"/>
      <c r="O144" s="17"/>
      <c r="P144" s="17"/>
      <c r="Q144" s="17"/>
      <c r="R144" s="17"/>
      <c r="S144" s="17"/>
    </row>
    <row r="145" spans="2:19" ht="15.75" hidden="1">
      <c r="B145" s="33"/>
      <c r="C145" s="61"/>
      <c r="D145" s="33"/>
      <c r="E145" s="85"/>
      <c r="F145" s="71"/>
      <c r="G145" s="64"/>
      <c r="H145" s="101"/>
      <c r="I145" s="108"/>
      <c r="J145" s="108"/>
      <c r="K145" s="108"/>
      <c r="L145" s="103"/>
      <c r="M145" s="17"/>
      <c r="N145" s="17"/>
      <c r="O145" s="17"/>
      <c r="P145" s="17"/>
      <c r="Q145" s="17"/>
      <c r="R145" s="17"/>
      <c r="S145" s="17"/>
    </row>
    <row r="146" spans="2:19" ht="15.75" hidden="1">
      <c r="B146" s="289"/>
      <c r="C146" s="290"/>
      <c r="D146" s="290"/>
      <c r="E146" s="290"/>
      <c r="F146" s="291"/>
      <c r="G146" s="64"/>
      <c r="H146" s="101"/>
      <c r="I146" s="108"/>
      <c r="J146" s="108"/>
      <c r="K146" s="108"/>
      <c r="L146" s="103"/>
      <c r="M146" s="17"/>
      <c r="N146" s="17"/>
      <c r="O146" s="17"/>
      <c r="P146" s="17"/>
      <c r="Q146" s="17"/>
      <c r="R146" s="17"/>
      <c r="S146" s="17"/>
    </row>
    <row r="147" spans="2:19" ht="116.25" customHeight="1" hidden="1">
      <c r="B147" s="33"/>
      <c r="C147" s="34"/>
      <c r="D147" s="33"/>
      <c r="E147" s="85"/>
      <c r="F147" s="75"/>
      <c r="G147" s="88"/>
      <c r="H147" s="104"/>
      <c r="I147" s="108"/>
      <c r="J147" s="107"/>
      <c r="K147" s="108"/>
      <c r="L147" s="103"/>
      <c r="M147" s="17"/>
      <c r="N147" s="17"/>
      <c r="O147" s="17"/>
      <c r="P147" s="17"/>
      <c r="Q147" s="17"/>
      <c r="R147" s="17"/>
      <c r="S147" s="17"/>
    </row>
    <row r="148" spans="2:19" ht="15.75" hidden="1">
      <c r="B148" s="289"/>
      <c r="C148" s="290"/>
      <c r="D148" s="290"/>
      <c r="E148" s="290"/>
      <c r="F148" s="291"/>
      <c r="G148" s="64"/>
      <c r="H148" s="101"/>
      <c r="I148" s="108"/>
      <c r="J148" s="108"/>
      <c r="K148" s="108"/>
      <c r="L148" s="103"/>
      <c r="M148" s="17"/>
      <c r="N148" s="17"/>
      <c r="O148" s="17"/>
      <c r="P148" s="17"/>
      <c r="Q148" s="17"/>
      <c r="R148" s="17"/>
      <c r="S148" s="17"/>
    </row>
    <row r="149" spans="2:19" ht="15.75">
      <c r="B149" s="35">
        <v>3700000</v>
      </c>
      <c r="C149" s="34"/>
      <c r="D149" s="19"/>
      <c r="E149" s="91" t="s">
        <v>194</v>
      </c>
      <c r="F149" s="71"/>
      <c r="G149" s="64"/>
      <c r="H149" s="104">
        <f t="shared" si="2"/>
        <v>50000</v>
      </c>
      <c r="I149" s="108">
        <f>I150</f>
        <v>0</v>
      </c>
      <c r="J149" s="108">
        <f>J150</f>
        <v>50000</v>
      </c>
      <c r="K149" s="108">
        <f>K150</f>
        <v>50000</v>
      </c>
      <c r="L149" s="103"/>
      <c r="M149" s="17"/>
      <c r="N149" s="17"/>
      <c r="O149" s="17"/>
      <c r="P149" s="17"/>
      <c r="Q149" s="17"/>
      <c r="R149" s="17"/>
      <c r="S149" s="17"/>
    </row>
    <row r="150" spans="2:19" ht="15.75">
      <c r="B150" s="35">
        <v>3710000</v>
      </c>
      <c r="C150" s="34"/>
      <c r="D150" s="19"/>
      <c r="E150" s="85" t="s">
        <v>194</v>
      </c>
      <c r="F150" s="71"/>
      <c r="G150" s="64"/>
      <c r="H150" s="104">
        <f t="shared" si="2"/>
        <v>50000</v>
      </c>
      <c r="I150" s="108">
        <f>I152</f>
        <v>0</v>
      </c>
      <c r="J150" s="108">
        <f>J152</f>
        <v>50000</v>
      </c>
      <c r="K150" s="108">
        <f>K152</f>
        <v>50000</v>
      </c>
      <c r="L150" s="103"/>
      <c r="M150" s="17"/>
      <c r="N150" s="17"/>
      <c r="O150" s="17"/>
      <c r="P150" s="17"/>
      <c r="Q150" s="17"/>
      <c r="R150" s="17"/>
      <c r="S150" s="17"/>
    </row>
    <row r="151" spans="2:19" ht="84.75" customHeight="1">
      <c r="B151" s="34">
        <v>3719770</v>
      </c>
      <c r="C151" s="34">
        <v>9770</v>
      </c>
      <c r="D151" s="19" t="s">
        <v>36</v>
      </c>
      <c r="E151" s="85" t="s">
        <v>476</v>
      </c>
      <c r="F151" s="273" t="s">
        <v>7</v>
      </c>
      <c r="G151" s="275" t="s">
        <v>5</v>
      </c>
      <c r="H151" s="104">
        <f t="shared" si="2"/>
        <v>50000</v>
      </c>
      <c r="I151" s="107">
        <v>0</v>
      </c>
      <c r="J151" s="107">
        <v>50000</v>
      </c>
      <c r="K151" s="107">
        <v>50000</v>
      </c>
      <c r="L151" s="103"/>
      <c r="M151" s="17"/>
      <c r="N151" s="17"/>
      <c r="O151" s="17"/>
      <c r="P151" s="17"/>
      <c r="Q151" s="17"/>
      <c r="R151" s="17"/>
      <c r="S151" s="17"/>
    </row>
    <row r="152" spans="2:19" ht="15.75">
      <c r="B152" s="289" t="s">
        <v>113</v>
      </c>
      <c r="C152" s="290"/>
      <c r="D152" s="290"/>
      <c r="E152" s="290"/>
      <c r="F152" s="291"/>
      <c r="G152" s="64"/>
      <c r="H152" s="104">
        <f t="shared" si="2"/>
        <v>50000</v>
      </c>
      <c r="I152" s="108">
        <f>I151</f>
        <v>0</v>
      </c>
      <c r="J152" s="108">
        <f>J151</f>
        <v>50000</v>
      </c>
      <c r="K152" s="108">
        <f>K151</f>
        <v>50000</v>
      </c>
      <c r="L152" s="103"/>
      <c r="M152" s="17"/>
      <c r="N152" s="17"/>
      <c r="O152" s="17"/>
      <c r="P152" s="17"/>
      <c r="Q152" s="17"/>
      <c r="R152" s="17"/>
      <c r="S152" s="17"/>
    </row>
    <row r="153" spans="2:19" ht="47.25" customHeight="1">
      <c r="B153" s="21" t="s">
        <v>115</v>
      </c>
      <c r="C153" s="21" t="s">
        <v>115</v>
      </c>
      <c r="D153" s="21" t="s">
        <v>115</v>
      </c>
      <c r="E153" s="22"/>
      <c r="F153" s="22"/>
      <c r="G153" s="22" t="s">
        <v>101</v>
      </c>
      <c r="H153" s="101">
        <f t="shared" si="2"/>
        <v>211137060.92</v>
      </c>
      <c r="I153" s="125">
        <f>I10+I62+I73+I104+I119+I127+I149</f>
        <v>190712732.22</v>
      </c>
      <c r="J153" s="125">
        <f>J10+J62+J73+J104+J119+J127+J149</f>
        <v>20424328.7</v>
      </c>
      <c r="K153" s="125">
        <f>K10+K62+K73+K104+K119+K127+K149</f>
        <v>20020384.5</v>
      </c>
      <c r="L153" s="103"/>
      <c r="M153" s="17"/>
      <c r="N153" s="17"/>
      <c r="O153" s="17"/>
      <c r="P153" s="17"/>
      <c r="Q153" s="17"/>
      <c r="R153" s="17"/>
      <c r="S153" s="17"/>
    </row>
    <row r="154" spans="2:19" ht="15.75">
      <c r="B154" s="9"/>
      <c r="C154" s="9"/>
      <c r="D154" s="9"/>
      <c r="E154" s="9"/>
      <c r="F154" s="9"/>
      <c r="G154" s="9"/>
      <c r="H154" s="126"/>
      <c r="I154" s="127"/>
      <c r="J154" s="127"/>
      <c r="K154" s="127"/>
      <c r="L154" s="103"/>
      <c r="M154" s="17"/>
      <c r="N154" s="17"/>
      <c r="O154" s="17"/>
      <c r="P154" s="17"/>
      <c r="Q154" s="17"/>
      <c r="R154" s="17"/>
      <c r="S154" s="17"/>
    </row>
    <row r="155" spans="2:19" ht="25.5" customHeight="1">
      <c r="B155" s="23"/>
      <c r="C155" s="23"/>
      <c r="D155" s="299" t="s">
        <v>256</v>
      </c>
      <c r="E155" s="299"/>
      <c r="F155" s="92"/>
      <c r="G155" s="93" t="s">
        <v>196</v>
      </c>
      <c r="H155" s="128"/>
      <c r="I155" s="129"/>
      <c r="J155" s="129"/>
      <c r="K155" s="129"/>
      <c r="L155" s="130"/>
      <c r="M155" s="24"/>
      <c r="N155" s="24"/>
      <c r="O155" s="24"/>
      <c r="P155" s="24"/>
      <c r="Q155" s="24"/>
      <c r="R155" s="24"/>
      <c r="S155" s="24"/>
    </row>
    <row r="156" spans="2:19" ht="15.75">
      <c r="B156" s="23"/>
      <c r="C156" s="23"/>
      <c r="D156" s="94"/>
      <c r="E156" s="94"/>
      <c r="F156" s="94"/>
      <c r="G156" s="94"/>
      <c r="H156" s="128"/>
      <c r="I156" s="129"/>
      <c r="J156" s="129"/>
      <c r="K156" s="129"/>
      <c r="L156" s="130"/>
      <c r="M156" s="24"/>
      <c r="N156" s="24"/>
      <c r="O156" s="24"/>
      <c r="P156" s="24"/>
      <c r="Q156" s="24"/>
      <c r="R156" s="24"/>
      <c r="S156" s="24"/>
    </row>
    <row r="157" spans="2:19" ht="15.75">
      <c r="B157" s="25"/>
      <c r="C157" s="25"/>
      <c r="D157" s="95"/>
      <c r="E157" s="95"/>
      <c r="F157" s="95"/>
      <c r="G157" s="95"/>
      <c r="H157" s="128"/>
      <c r="I157" s="131"/>
      <c r="J157" s="131"/>
      <c r="K157" s="131"/>
      <c r="L157" s="103"/>
      <c r="M157" s="17"/>
      <c r="N157" s="17"/>
      <c r="O157" s="17"/>
      <c r="P157" s="17"/>
      <c r="Q157" s="17"/>
      <c r="R157" s="17"/>
      <c r="S157" s="17"/>
    </row>
    <row r="158" spans="2:19" ht="15.75">
      <c r="B158" s="25"/>
      <c r="C158" s="25"/>
      <c r="D158" s="95"/>
      <c r="E158" s="95"/>
      <c r="F158" s="95"/>
      <c r="G158" s="95"/>
      <c r="H158" s="128"/>
      <c r="I158" s="131"/>
      <c r="J158" s="131"/>
      <c r="K158" s="131"/>
      <c r="L158" s="103"/>
      <c r="M158" s="17"/>
      <c r="N158" s="17"/>
      <c r="O158" s="17"/>
      <c r="P158" s="17"/>
      <c r="Q158" s="17"/>
      <c r="R158" s="17"/>
      <c r="S158" s="17"/>
    </row>
    <row r="159" spans="2:19" ht="15.75">
      <c r="B159" s="25"/>
      <c r="C159" s="25"/>
      <c r="D159" s="95"/>
      <c r="E159" s="95"/>
      <c r="F159" s="95"/>
      <c r="G159" s="95"/>
      <c r="H159" s="128"/>
      <c r="I159" s="131"/>
      <c r="J159" s="131"/>
      <c r="K159" s="131"/>
      <c r="L159" s="103"/>
      <c r="M159" s="17"/>
      <c r="N159" s="17"/>
      <c r="O159" s="17"/>
      <c r="P159" s="17"/>
      <c r="Q159" s="17"/>
      <c r="R159" s="17"/>
      <c r="S159" s="17"/>
    </row>
    <row r="160" spans="2:19" ht="15.75">
      <c r="B160" s="25"/>
      <c r="C160" s="25"/>
      <c r="D160" s="95"/>
      <c r="E160" s="95"/>
      <c r="F160" s="95"/>
      <c r="G160" s="95"/>
      <c r="H160" s="128"/>
      <c r="I160" s="131"/>
      <c r="J160" s="131"/>
      <c r="K160" s="131"/>
      <c r="L160" s="103"/>
      <c r="M160" s="17"/>
      <c r="N160" s="17"/>
      <c r="O160" s="17"/>
      <c r="P160" s="17"/>
      <c r="Q160" s="17"/>
      <c r="R160" s="17"/>
      <c r="S160" s="17"/>
    </row>
    <row r="161" spans="2:19" ht="15.75">
      <c r="B161" s="25"/>
      <c r="C161" s="25"/>
      <c r="D161" s="95"/>
      <c r="E161" s="95"/>
      <c r="F161" s="95"/>
      <c r="G161" s="95"/>
      <c r="H161" s="131"/>
      <c r="I161" s="131"/>
      <c r="J161" s="131"/>
      <c r="K161" s="131"/>
      <c r="L161" s="103"/>
      <c r="M161" s="17"/>
      <c r="N161" s="17"/>
      <c r="O161" s="17"/>
      <c r="P161" s="17"/>
      <c r="Q161" s="17"/>
      <c r="R161" s="17"/>
      <c r="S161" s="17"/>
    </row>
    <row r="162" spans="2:19" ht="15.75">
      <c r="B162" s="25"/>
      <c r="C162" s="25"/>
      <c r="D162" s="25"/>
      <c r="E162" s="25"/>
      <c r="F162" s="25"/>
      <c r="G162" s="25"/>
      <c r="H162" s="131"/>
      <c r="I162" s="131"/>
      <c r="J162" s="131"/>
      <c r="K162" s="131"/>
      <c r="L162" s="103"/>
      <c r="M162" s="17"/>
      <c r="N162" s="17"/>
      <c r="O162" s="17"/>
      <c r="P162" s="17"/>
      <c r="Q162" s="17"/>
      <c r="R162" s="17"/>
      <c r="S162" s="17"/>
    </row>
    <row r="163" spans="2:19" ht="15.75">
      <c r="B163" s="25"/>
      <c r="C163" s="25"/>
      <c r="D163" s="25"/>
      <c r="E163" s="25"/>
      <c r="F163" s="25"/>
      <c r="G163" s="25"/>
      <c r="H163" s="131"/>
      <c r="I163" s="131"/>
      <c r="J163" s="131"/>
      <c r="K163" s="131"/>
      <c r="L163" s="103"/>
      <c r="M163" s="17"/>
      <c r="N163" s="17"/>
      <c r="O163" s="17"/>
      <c r="P163" s="17"/>
      <c r="Q163" s="17"/>
      <c r="R163" s="17"/>
      <c r="S163" s="17"/>
    </row>
    <row r="164" spans="2:19" ht="15.75">
      <c r="B164" s="25"/>
      <c r="C164" s="25"/>
      <c r="D164" s="25"/>
      <c r="E164" s="25"/>
      <c r="F164" s="25"/>
      <c r="G164" s="25"/>
      <c r="H164" s="131"/>
      <c r="I164" s="131"/>
      <c r="J164" s="131"/>
      <c r="K164" s="131"/>
      <c r="L164" s="103"/>
      <c r="M164" s="17"/>
      <c r="N164" s="17"/>
      <c r="O164" s="17"/>
      <c r="P164" s="17"/>
      <c r="Q164" s="17"/>
      <c r="R164" s="17"/>
      <c r="S164" s="17"/>
    </row>
    <row r="165" spans="2:19" ht="15.75">
      <c r="B165" s="25"/>
      <c r="C165" s="25"/>
      <c r="D165" s="25"/>
      <c r="E165" s="25"/>
      <c r="F165" s="25"/>
      <c r="G165" s="25"/>
      <c r="H165" s="131"/>
      <c r="I165" s="131"/>
      <c r="J165" s="131"/>
      <c r="K165" s="131"/>
      <c r="L165" s="103"/>
      <c r="M165" s="17"/>
      <c r="N165" s="17"/>
      <c r="O165" s="17"/>
      <c r="P165" s="17"/>
      <c r="Q165" s="17"/>
      <c r="R165" s="17"/>
      <c r="S165" s="17"/>
    </row>
    <row r="166" spans="2:19" ht="15.75">
      <c r="B166" s="25"/>
      <c r="C166" s="25"/>
      <c r="D166" s="25"/>
      <c r="E166" s="25"/>
      <c r="F166" s="25"/>
      <c r="G166" s="25"/>
      <c r="H166" s="131"/>
      <c r="I166" s="131"/>
      <c r="J166" s="131"/>
      <c r="K166" s="131"/>
      <c r="L166" s="103"/>
      <c r="M166" s="17"/>
      <c r="N166" s="17"/>
      <c r="O166" s="17"/>
      <c r="P166" s="17"/>
      <c r="Q166" s="17"/>
      <c r="R166" s="17"/>
      <c r="S166" s="17"/>
    </row>
    <row r="167" spans="2:19" ht="15.75">
      <c r="B167" s="25"/>
      <c r="C167" s="25"/>
      <c r="D167" s="25"/>
      <c r="E167" s="25"/>
      <c r="F167" s="25"/>
      <c r="G167" s="25"/>
      <c r="H167" s="131"/>
      <c r="I167" s="131"/>
      <c r="J167" s="131"/>
      <c r="K167" s="131"/>
      <c r="L167" s="103"/>
      <c r="M167" s="17"/>
      <c r="N167" s="17"/>
      <c r="O167" s="17"/>
      <c r="P167" s="17"/>
      <c r="Q167" s="17"/>
      <c r="R167" s="17"/>
      <c r="S167" s="17"/>
    </row>
    <row r="168" spans="2:19" ht="15.75">
      <c r="B168" s="25"/>
      <c r="C168" s="25"/>
      <c r="D168" s="25"/>
      <c r="E168" s="25"/>
      <c r="F168" s="25"/>
      <c r="G168" s="25"/>
      <c r="H168" s="131"/>
      <c r="I168" s="131"/>
      <c r="J168" s="131"/>
      <c r="K168" s="131"/>
      <c r="L168" s="103"/>
      <c r="M168" s="17"/>
      <c r="N168" s="17"/>
      <c r="O168" s="17"/>
      <c r="P168" s="17"/>
      <c r="Q168" s="17"/>
      <c r="R168" s="17"/>
      <c r="S168" s="17"/>
    </row>
    <row r="169" spans="2:19" ht="15.75">
      <c r="B169" s="25"/>
      <c r="C169" s="25"/>
      <c r="D169" s="25"/>
      <c r="E169" s="25"/>
      <c r="F169" s="25"/>
      <c r="G169" s="25"/>
      <c r="H169" s="131"/>
      <c r="I169" s="131"/>
      <c r="J169" s="131"/>
      <c r="K169" s="131"/>
      <c r="L169" s="103"/>
      <c r="M169" s="17"/>
      <c r="N169" s="17"/>
      <c r="O169" s="17"/>
      <c r="P169" s="17"/>
      <c r="Q169" s="17"/>
      <c r="R169" s="17"/>
      <c r="S169" s="17"/>
    </row>
    <row r="170" spans="2:19" ht="15.75">
      <c r="B170" s="25"/>
      <c r="C170" s="25"/>
      <c r="D170" s="25"/>
      <c r="E170" s="25"/>
      <c r="F170" s="25"/>
      <c r="G170" s="25"/>
      <c r="H170" s="131"/>
      <c r="I170" s="131"/>
      <c r="J170" s="131"/>
      <c r="K170" s="131"/>
      <c r="L170" s="103"/>
      <c r="M170" s="17"/>
      <c r="N170" s="17"/>
      <c r="O170" s="17"/>
      <c r="P170" s="17"/>
      <c r="Q170" s="17"/>
      <c r="R170" s="17"/>
      <c r="S170" s="17"/>
    </row>
    <row r="171" spans="2:19" ht="15.75">
      <c r="B171" s="25"/>
      <c r="C171" s="25"/>
      <c r="D171" s="25"/>
      <c r="E171" s="25"/>
      <c r="F171" s="25"/>
      <c r="G171" s="25"/>
      <c r="H171" s="131"/>
      <c r="I171" s="131"/>
      <c r="J171" s="131"/>
      <c r="K171" s="131"/>
      <c r="L171" s="103"/>
      <c r="M171" s="17"/>
      <c r="N171" s="17"/>
      <c r="O171" s="17"/>
      <c r="P171" s="17"/>
      <c r="Q171" s="17"/>
      <c r="R171" s="17"/>
      <c r="S171" s="17"/>
    </row>
    <row r="172" spans="2:19" ht="15.75">
      <c r="B172" s="25"/>
      <c r="C172" s="25"/>
      <c r="D172" s="25"/>
      <c r="E172" s="25"/>
      <c r="F172" s="25"/>
      <c r="G172" s="25"/>
      <c r="H172" s="131"/>
      <c r="I172" s="131"/>
      <c r="J172" s="131"/>
      <c r="K172" s="131"/>
      <c r="L172" s="103"/>
      <c r="M172" s="17"/>
      <c r="N172" s="17"/>
      <c r="O172" s="17"/>
      <c r="P172" s="17"/>
      <c r="Q172" s="17"/>
      <c r="R172" s="17"/>
      <c r="S172" s="17"/>
    </row>
    <row r="173" spans="2:19" ht="15.75">
      <c r="B173" s="25"/>
      <c r="C173" s="25"/>
      <c r="D173" s="25"/>
      <c r="E173" s="25"/>
      <c r="F173" s="25"/>
      <c r="G173" s="25"/>
      <c r="H173" s="131"/>
      <c r="I173" s="131"/>
      <c r="J173" s="131"/>
      <c r="K173" s="131"/>
      <c r="L173" s="103"/>
      <c r="M173" s="17"/>
      <c r="N173" s="17"/>
      <c r="O173" s="17"/>
      <c r="P173" s="17"/>
      <c r="Q173" s="17"/>
      <c r="R173" s="17"/>
      <c r="S173" s="17"/>
    </row>
    <row r="174" spans="2:19" ht="15.75">
      <c r="B174" s="25"/>
      <c r="C174" s="25"/>
      <c r="D174" s="25"/>
      <c r="E174" s="25"/>
      <c r="F174" s="25"/>
      <c r="G174" s="25"/>
      <c r="H174" s="131"/>
      <c r="I174" s="131"/>
      <c r="J174" s="131"/>
      <c r="K174" s="131"/>
      <c r="L174" s="103"/>
      <c r="M174" s="17"/>
      <c r="N174" s="17"/>
      <c r="O174" s="17"/>
      <c r="P174" s="17"/>
      <c r="Q174" s="17"/>
      <c r="R174" s="17"/>
      <c r="S174" s="17"/>
    </row>
    <row r="175" spans="2:19" ht="15.75">
      <c r="B175" s="25"/>
      <c r="C175" s="25"/>
      <c r="D175" s="25"/>
      <c r="E175" s="25"/>
      <c r="F175" s="25"/>
      <c r="G175" s="25"/>
      <c r="H175" s="131"/>
      <c r="I175" s="131"/>
      <c r="J175" s="131"/>
      <c r="K175" s="131"/>
      <c r="L175" s="103"/>
      <c r="M175" s="17"/>
      <c r="N175" s="17"/>
      <c r="O175" s="17"/>
      <c r="P175" s="17"/>
      <c r="Q175" s="17"/>
      <c r="R175" s="17"/>
      <c r="S175" s="17"/>
    </row>
    <row r="176" spans="2:19" ht="15.75">
      <c r="B176" s="25"/>
      <c r="C176" s="25"/>
      <c r="D176" s="25"/>
      <c r="E176" s="25"/>
      <c r="F176" s="25"/>
      <c r="G176" s="25"/>
      <c r="H176" s="132"/>
      <c r="I176" s="132"/>
      <c r="J176" s="132"/>
      <c r="K176" s="132"/>
      <c r="L176" s="103"/>
      <c r="M176" s="17"/>
      <c r="N176" s="17"/>
      <c r="O176" s="17"/>
      <c r="P176" s="17"/>
      <c r="Q176" s="17"/>
      <c r="R176" s="17"/>
      <c r="S176" s="17"/>
    </row>
    <row r="177" spans="2:19" ht="15.75">
      <c r="B177" s="25"/>
      <c r="C177" s="25"/>
      <c r="D177" s="25"/>
      <c r="E177" s="25"/>
      <c r="F177" s="25"/>
      <c r="G177" s="25"/>
      <c r="H177" s="132"/>
      <c r="I177" s="132"/>
      <c r="J177" s="132"/>
      <c r="K177" s="132"/>
      <c r="L177" s="103"/>
      <c r="M177" s="17"/>
      <c r="N177" s="17"/>
      <c r="O177" s="17"/>
      <c r="P177" s="17"/>
      <c r="Q177" s="17"/>
      <c r="R177" s="17"/>
      <c r="S177" s="17"/>
    </row>
    <row r="178" spans="2:19" ht="15.75">
      <c r="B178" s="25"/>
      <c r="C178" s="25"/>
      <c r="D178" s="25"/>
      <c r="E178" s="25"/>
      <c r="F178" s="25"/>
      <c r="G178" s="25"/>
      <c r="H178" s="132"/>
      <c r="I178" s="132"/>
      <c r="J178" s="132"/>
      <c r="K178" s="132"/>
      <c r="L178" s="103"/>
      <c r="M178" s="17"/>
      <c r="N178" s="17"/>
      <c r="O178" s="17"/>
      <c r="P178" s="17"/>
      <c r="Q178" s="17"/>
      <c r="R178" s="17"/>
      <c r="S178" s="17"/>
    </row>
    <row r="179" spans="2:19" ht="15.75">
      <c r="B179" s="25"/>
      <c r="C179" s="25"/>
      <c r="D179" s="25"/>
      <c r="E179" s="25"/>
      <c r="F179" s="25"/>
      <c r="G179" s="25"/>
      <c r="H179" s="132"/>
      <c r="I179" s="132"/>
      <c r="J179" s="132"/>
      <c r="K179" s="132"/>
      <c r="L179" s="103"/>
      <c r="M179" s="17"/>
      <c r="N179" s="17"/>
      <c r="O179" s="17"/>
      <c r="P179" s="17"/>
      <c r="Q179" s="17"/>
      <c r="R179" s="17"/>
      <c r="S179" s="17"/>
    </row>
    <row r="180" spans="2:19" ht="15.75">
      <c r="B180" s="25"/>
      <c r="C180" s="25"/>
      <c r="D180" s="25"/>
      <c r="E180" s="25"/>
      <c r="F180" s="25"/>
      <c r="G180" s="25"/>
      <c r="H180" s="132"/>
      <c r="I180" s="132"/>
      <c r="J180" s="132"/>
      <c r="K180" s="132"/>
      <c r="L180" s="103"/>
      <c r="M180" s="17"/>
      <c r="N180" s="17"/>
      <c r="O180" s="17"/>
      <c r="P180" s="17"/>
      <c r="Q180" s="17"/>
      <c r="R180" s="17"/>
      <c r="S180" s="17"/>
    </row>
    <row r="181" spans="2:19" ht="15.75">
      <c r="B181" s="25"/>
      <c r="C181" s="25"/>
      <c r="D181" s="25"/>
      <c r="E181" s="25"/>
      <c r="F181" s="25"/>
      <c r="G181" s="25"/>
      <c r="H181" s="132"/>
      <c r="I181" s="132"/>
      <c r="J181" s="132"/>
      <c r="K181" s="132"/>
      <c r="L181" s="103"/>
      <c r="M181" s="17"/>
      <c r="N181" s="17"/>
      <c r="O181" s="17"/>
      <c r="P181" s="17"/>
      <c r="Q181" s="17"/>
      <c r="R181" s="17"/>
      <c r="S181" s="17"/>
    </row>
    <row r="182" spans="2:19" ht="15.75">
      <c r="B182" s="25"/>
      <c r="C182" s="25"/>
      <c r="D182" s="25"/>
      <c r="E182" s="25"/>
      <c r="F182" s="25"/>
      <c r="G182" s="25"/>
      <c r="H182" s="132"/>
      <c r="I182" s="132"/>
      <c r="J182" s="132"/>
      <c r="K182" s="132"/>
      <c r="L182" s="103"/>
      <c r="M182" s="17"/>
      <c r="N182" s="17"/>
      <c r="O182" s="17"/>
      <c r="P182" s="17"/>
      <c r="Q182" s="17"/>
      <c r="R182" s="17"/>
      <c r="S182" s="17"/>
    </row>
    <row r="183" spans="2:19" ht="15.75">
      <c r="B183" s="25"/>
      <c r="C183" s="25"/>
      <c r="D183" s="25"/>
      <c r="E183" s="25"/>
      <c r="F183" s="25"/>
      <c r="G183" s="25"/>
      <c r="H183" s="132"/>
      <c r="I183" s="132"/>
      <c r="J183" s="132"/>
      <c r="K183" s="132"/>
      <c r="L183" s="103"/>
      <c r="M183" s="17"/>
      <c r="N183" s="17"/>
      <c r="O183" s="17"/>
      <c r="P183" s="17"/>
      <c r="Q183" s="17"/>
      <c r="R183" s="17"/>
      <c r="S183" s="17"/>
    </row>
    <row r="184" spans="2:19" ht="15.75">
      <c r="B184" s="25"/>
      <c r="C184" s="25"/>
      <c r="D184" s="25"/>
      <c r="E184" s="25"/>
      <c r="F184" s="25"/>
      <c r="G184" s="25"/>
      <c r="H184" s="132"/>
      <c r="I184" s="132"/>
      <c r="J184" s="132"/>
      <c r="K184" s="132"/>
      <c r="L184" s="103"/>
      <c r="M184" s="17"/>
      <c r="N184" s="17"/>
      <c r="O184" s="17"/>
      <c r="P184" s="17"/>
      <c r="Q184" s="17"/>
      <c r="R184" s="17"/>
      <c r="S184" s="17"/>
    </row>
    <row r="185" spans="2:19" ht="15.75">
      <c r="B185" s="25"/>
      <c r="C185" s="25"/>
      <c r="D185" s="25"/>
      <c r="E185" s="25"/>
      <c r="F185" s="25"/>
      <c r="G185" s="25"/>
      <c r="H185" s="132"/>
      <c r="I185" s="132"/>
      <c r="J185" s="132"/>
      <c r="K185" s="132"/>
      <c r="L185" s="103"/>
      <c r="M185" s="17"/>
      <c r="N185" s="17"/>
      <c r="O185" s="17"/>
      <c r="P185" s="17"/>
      <c r="Q185" s="17"/>
      <c r="R185" s="17"/>
      <c r="S185" s="17"/>
    </row>
    <row r="186" spans="8:12" ht="15.75">
      <c r="H186" s="7"/>
      <c r="I186" s="7"/>
      <c r="J186" s="7"/>
      <c r="K186" s="7"/>
      <c r="L186" s="8"/>
    </row>
    <row r="187" spans="8:12" ht="15.75">
      <c r="H187" s="7"/>
      <c r="I187" s="7"/>
      <c r="J187" s="7"/>
      <c r="K187" s="7"/>
      <c r="L187" s="8"/>
    </row>
    <row r="188" spans="8:12" ht="15.75">
      <c r="H188" s="7"/>
      <c r="I188" s="7"/>
      <c r="J188" s="7"/>
      <c r="K188" s="7"/>
      <c r="L188" s="8"/>
    </row>
    <row r="189" spans="8:12" ht="15.75">
      <c r="H189" s="7"/>
      <c r="I189" s="7"/>
      <c r="J189" s="7"/>
      <c r="K189" s="7"/>
      <c r="L189" s="8"/>
    </row>
    <row r="190" spans="8:12" ht="15.75">
      <c r="H190" s="7"/>
      <c r="I190" s="7"/>
      <c r="J190" s="7"/>
      <c r="K190" s="7"/>
      <c r="L190" s="8"/>
    </row>
    <row r="191" spans="8:12" ht="15.75">
      <c r="H191" s="7"/>
      <c r="I191" s="7"/>
      <c r="J191" s="7"/>
      <c r="K191" s="7"/>
      <c r="L191" s="8"/>
    </row>
    <row r="192" spans="8:12" ht="15.75">
      <c r="H192" s="7"/>
      <c r="I192" s="7"/>
      <c r="J192" s="7"/>
      <c r="K192" s="7"/>
      <c r="L192" s="8"/>
    </row>
    <row r="193" spans="8:12" ht="15.75">
      <c r="H193" s="7"/>
      <c r="I193" s="7"/>
      <c r="J193" s="7"/>
      <c r="K193" s="7"/>
      <c r="L193" s="8"/>
    </row>
    <row r="194" spans="8:12" ht="15.75">
      <c r="H194" s="7"/>
      <c r="I194" s="7"/>
      <c r="J194" s="7"/>
      <c r="K194" s="7"/>
      <c r="L194" s="8"/>
    </row>
    <row r="195" spans="8:12" ht="15.75">
      <c r="H195" s="7"/>
      <c r="I195" s="7"/>
      <c r="J195" s="7"/>
      <c r="K195" s="7"/>
      <c r="L195" s="8"/>
    </row>
    <row r="196" spans="8:12" ht="15.75">
      <c r="H196" s="7"/>
      <c r="I196" s="7"/>
      <c r="J196" s="7"/>
      <c r="K196" s="7"/>
      <c r="L196" s="8"/>
    </row>
    <row r="197" spans="8:12" ht="15.75">
      <c r="H197" s="7"/>
      <c r="I197" s="7"/>
      <c r="J197" s="7"/>
      <c r="K197" s="7"/>
      <c r="L197" s="8"/>
    </row>
    <row r="198" spans="8:12" ht="15.75">
      <c r="H198" s="7"/>
      <c r="I198" s="7"/>
      <c r="J198" s="7"/>
      <c r="K198" s="7"/>
      <c r="L198" s="8"/>
    </row>
    <row r="199" spans="8:12" ht="15.75">
      <c r="H199" s="7"/>
      <c r="I199" s="7"/>
      <c r="J199" s="7"/>
      <c r="K199" s="7"/>
      <c r="L199" s="8"/>
    </row>
    <row r="200" spans="8:12" ht="15.75">
      <c r="H200" s="7"/>
      <c r="I200" s="7"/>
      <c r="J200" s="7"/>
      <c r="K200" s="7"/>
      <c r="L200" s="8"/>
    </row>
    <row r="201" spans="8:12" ht="15.75">
      <c r="H201" s="7"/>
      <c r="I201" s="7"/>
      <c r="J201" s="7"/>
      <c r="K201" s="7"/>
      <c r="L201" s="8"/>
    </row>
    <row r="202" spans="8:12" ht="15.75">
      <c r="H202" s="7"/>
      <c r="I202" s="7"/>
      <c r="J202" s="7"/>
      <c r="K202" s="7"/>
      <c r="L202" s="8"/>
    </row>
    <row r="203" spans="8:12" ht="15.75">
      <c r="H203" s="7"/>
      <c r="I203" s="7"/>
      <c r="J203" s="7"/>
      <c r="K203" s="7"/>
      <c r="L203" s="8"/>
    </row>
    <row r="204" spans="8:12" ht="15.75">
      <c r="H204" s="7"/>
      <c r="I204" s="7"/>
      <c r="J204" s="7"/>
      <c r="K204" s="7"/>
      <c r="L204" s="8"/>
    </row>
    <row r="205" spans="8:12" ht="15.75">
      <c r="H205" s="7"/>
      <c r="I205" s="7"/>
      <c r="J205" s="7"/>
      <c r="K205" s="7"/>
      <c r="L205" s="8"/>
    </row>
    <row r="206" spans="8:12" ht="15.75">
      <c r="H206" s="7"/>
      <c r="I206" s="7"/>
      <c r="J206" s="7"/>
      <c r="K206" s="7"/>
      <c r="L206" s="8"/>
    </row>
    <row r="207" spans="8:12" ht="15.75">
      <c r="H207" s="7"/>
      <c r="I207" s="7"/>
      <c r="J207" s="7"/>
      <c r="K207" s="7"/>
      <c r="L207" s="8"/>
    </row>
    <row r="208" spans="8:12" ht="15.75">
      <c r="H208" s="7"/>
      <c r="I208" s="7"/>
      <c r="J208" s="7"/>
      <c r="K208" s="7"/>
      <c r="L208" s="8"/>
    </row>
    <row r="209" spans="8:12" ht="15.75">
      <c r="H209" s="7"/>
      <c r="I209" s="7"/>
      <c r="J209" s="7"/>
      <c r="K209" s="7"/>
      <c r="L209" s="8"/>
    </row>
    <row r="210" spans="8:12" ht="15.75">
      <c r="H210" s="7"/>
      <c r="I210" s="7"/>
      <c r="J210" s="7"/>
      <c r="K210" s="7"/>
      <c r="L210" s="8"/>
    </row>
    <row r="211" spans="8:12" ht="15.75">
      <c r="H211" s="7"/>
      <c r="I211" s="7"/>
      <c r="J211" s="7"/>
      <c r="K211" s="7"/>
      <c r="L211" s="8"/>
    </row>
    <row r="212" spans="8:12" ht="15.75">
      <c r="H212" s="7"/>
      <c r="I212" s="7"/>
      <c r="J212" s="7"/>
      <c r="K212" s="7"/>
      <c r="L212" s="8"/>
    </row>
    <row r="213" spans="8:12" ht="15.75">
      <c r="H213" s="7"/>
      <c r="I213" s="7"/>
      <c r="J213" s="7"/>
      <c r="K213" s="7"/>
      <c r="L213" s="8"/>
    </row>
    <row r="214" spans="8:12" ht="15.75">
      <c r="H214" s="7"/>
      <c r="I214" s="7"/>
      <c r="J214" s="7"/>
      <c r="K214" s="7"/>
      <c r="L214" s="8"/>
    </row>
    <row r="215" spans="8:12" ht="15.75">
      <c r="H215" s="7"/>
      <c r="I215" s="7"/>
      <c r="J215" s="7"/>
      <c r="K215" s="7"/>
      <c r="L215" s="8"/>
    </row>
    <row r="216" spans="8:12" ht="15.75">
      <c r="H216" s="7"/>
      <c r="I216" s="7"/>
      <c r="J216" s="7"/>
      <c r="K216" s="7"/>
      <c r="L216" s="8"/>
    </row>
    <row r="217" spans="8:12" ht="15.75">
      <c r="H217" s="7"/>
      <c r="I217" s="7"/>
      <c r="J217" s="7"/>
      <c r="K217" s="7"/>
      <c r="L217" s="8"/>
    </row>
    <row r="218" spans="8:12" ht="15.75">
      <c r="H218" s="7"/>
      <c r="I218" s="7"/>
      <c r="J218" s="7"/>
      <c r="K218" s="7"/>
      <c r="L218" s="8"/>
    </row>
    <row r="219" spans="8:12" ht="15.75">
      <c r="H219" s="7"/>
      <c r="I219" s="7"/>
      <c r="J219" s="7"/>
      <c r="K219" s="7"/>
      <c r="L219" s="8"/>
    </row>
    <row r="220" spans="8:12" ht="15.75">
      <c r="H220" s="7"/>
      <c r="I220" s="7"/>
      <c r="J220" s="7"/>
      <c r="K220" s="7"/>
      <c r="L220" s="8"/>
    </row>
    <row r="221" spans="8:12" ht="15.75">
      <c r="H221" s="7"/>
      <c r="I221" s="7"/>
      <c r="J221" s="7"/>
      <c r="K221" s="7"/>
      <c r="L221" s="8"/>
    </row>
    <row r="222" spans="8:12" ht="15.75">
      <c r="H222" s="7"/>
      <c r="I222" s="7"/>
      <c r="J222" s="7"/>
      <c r="K222" s="7"/>
      <c r="L222" s="8"/>
    </row>
    <row r="223" spans="8:12" ht="15.75">
      <c r="H223" s="7"/>
      <c r="I223" s="7"/>
      <c r="J223" s="7"/>
      <c r="K223" s="7"/>
      <c r="L223" s="8"/>
    </row>
    <row r="224" spans="8:12" ht="15.75">
      <c r="H224" s="7"/>
      <c r="I224" s="7"/>
      <c r="J224" s="7"/>
      <c r="K224" s="7"/>
      <c r="L224" s="8"/>
    </row>
    <row r="225" spans="8:12" ht="15.75">
      <c r="H225" s="7"/>
      <c r="I225" s="7"/>
      <c r="J225" s="7"/>
      <c r="K225" s="7"/>
      <c r="L225" s="8"/>
    </row>
    <row r="226" spans="8:12" ht="15.75">
      <c r="H226" s="7"/>
      <c r="I226" s="7"/>
      <c r="J226" s="7"/>
      <c r="K226" s="7"/>
      <c r="L226" s="8"/>
    </row>
    <row r="227" spans="8:12" ht="15.75">
      <c r="H227" s="7"/>
      <c r="I227" s="7"/>
      <c r="J227" s="7"/>
      <c r="K227" s="7"/>
      <c r="L227" s="8"/>
    </row>
    <row r="228" spans="8:12" ht="15.75">
      <c r="H228" s="7"/>
      <c r="I228" s="7"/>
      <c r="J228" s="7"/>
      <c r="K228" s="7"/>
      <c r="L228" s="8"/>
    </row>
    <row r="229" spans="8:12" ht="15.75">
      <c r="H229" s="7"/>
      <c r="I229" s="7"/>
      <c r="J229" s="7"/>
      <c r="K229" s="7"/>
      <c r="L229" s="8"/>
    </row>
    <row r="230" spans="8:12" ht="15.75">
      <c r="H230" s="7"/>
      <c r="I230" s="7"/>
      <c r="J230" s="7"/>
      <c r="K230" s="7"/>
      <c r="L230" s="8"/>
    </row>
    <row r="231" spans="8:12" ht="15.75">
      <c r="H231" s="7"/>
      <c r="I231" s="7"/>
      <c r="J231" s="7"/>
      <c r="K231" s="7"/>
      <c r="L231" s="8"/>
    </row>
    <row r="232" spans="8:12" ht="15.75">
      <c r="H232" s="7"/>
      <c r="I232" s="7"/>
      <c r="J232" s="7"/>
      <c r="K232" s="7"/>
      <c r="L232" s="8"/>
    </row>
    <row r="233" spans="8:12" ht="15.75">
      <c r="H233" s="7"/>
      <c r="I233" s="7"/>
      <c r="J233" s="7"/>
      <c r="K233" s="7"/>
      <c r="L233" s="8"/>
    </row>
    <row r="234" spans="8:12" ht="15.75">
      <c r="H234" s="7"/>
      <c r="I234" s="7"/>
      <c r="J234" s="7"/>
      <c r="K234" s="7"/>
      <c r="L234" s="8"/>
    </row>
    <row r="235" spans="8:12" ht="15.75">
      <c r="H235" s="7"/>
      <c r="I235" s="7"/>
      <c r="J235" s="7"/>
      <c r="K235" s="7"/>
      <c r="L235" s="8"/>
    </row>
    <row r="236" spans="8:12" ht="15.75">
      <c r="H236" s="7"/>
      <c r="I236" s="7"/>
      <c r="J236" s="7"/>
      <c r="K236" s="7"/>
      <c r="L236" s="8"/>
    </row>
    <row r="237" spans="8:12" ht="15.75">
      <c r="H237" s="7"/>
      <c r="I237" s="7"/>
      <c r="J237" s="7"/>
      <c r="K237" s="7"/>
      <c r="L237" s="8"/>
    </row>
    <row r="238" spans="8:12" ht="15.75">
      <c r="H238" s="7"/>
      <c r="I238" s="7"/>
      <c r="J238" s="7"/>
      <c r="K238" s="7"/>
      <c r="L238" s="8"/>
    </row>
    <row r="239" spans="8:12" ht="15.75">
      <c r="H239" s="7"/>
      <c r="I239" s="7"/>
      <c r="J239" s="7"/>
      <c r="K239" s="7"/>
      <c r="L239" s="8"/>
    </row>
    <row r="240" spans="8:12" ht="15.75">
      <c r="H240" s="7"/>
      <c r="I240" s="7"/>
      <c r="J240" s="7"/>
      <c r="K240" s="7"/>
      <c r="L240" s="8"/>
    </row>
    <row r="241" spans="8:12" ht="15.75">
      <c r="H241" s="7"/>
      <c r="I241" s="7"/>
      <c r="J241" s="7"/>
      <c r="K241" s="7"/>
      <c r="L241" s="8"/>
    </row>
    <row r="242" spans="8:12" ht="15.75">
      <c r="H242" s="7"/>
      <c r="I242" s="7"/>
      <c r="J242" s="7"/>
      <c r="K242" s="7"/>
      <c r="L242" s="8"/>
    </row>
    <row r="243" spans="8:12" ht="15.75">
      <c r="H243" s="7"/>
      <c r="I243" s="7"/>
      <c r="J243" s="7"/>
      <c r="K243" s="7"/>
      <c r="L243" s="8"/>
    </row>
    <row r="244" spans="8:12" ht="15.75">
      <c r="H244" s="7"/>
      <c r="I244" s="7"/>
      <c r="J244" s="7"/>
      <c r="K244" s="7"/>
      <c r="L244" s="8"/>
    </row>
    <row r="245" spans="8:12" ht="15.75">
      <c r="H245" s="7"/>
      <c r="I245" s="7"/>
      <c r="J245" s="7"/>
      <c r="K245" s="7"/>
      <c r="L245" s="8"/>
    </row>
    <row r="246" spans="8:12" ht="15.75">
      <c r="H246" s="7"/>
      <c r="I246" s="7"/>
      <c r="J246" s="7"/>
      <c r="K246" s="7"/>
      <c r="L246" s="8"/>
    </row>
    <row r="247" spans="8:12" ht="15.75">
      <c r="H247" s="7"/>
      <c r="I247" s="7"/>
      <c r="J247" s="7"/>
      <c r="K247" s="7"/>
      <c r="L247" s="8"/>
    </row>
    <row r="248" spans="8:12" ht="15.75">
      <c r="H248" s="7"/>
      <c r="I248" s="7"/>
      <c r="J248" s="7"/>
      <c r="K248" s="7"/>
      <c r="L248" s="8"/>
    </row>
    <row r="249" spans="8:12" ht="15.75">
      <c r="H249" s="7"/>
      <c r="I249" s="7"/>
      <c r="J249" s="7"/>
      <c r="K249" s="7"/>
      <c r="L249" s="8"/>
    </row>
    <row r="250" spans="8:12" ht="15.75">
      <c r="H250" s="7"/>
      <c r="I250" s="7"/>
      <c r="J250" s="7"/>
      <c r="K250" s="7"/>
      <c r="L250" s="8"/>
    </row>
    <row r="251" spans="8:12" ht="15.75">
      <c r="H251" s="7"/>
      <c r="I251" s="7"/>
      <c r="J251" s="7"/>
      <c r="K251" s="7"/>
      <c r="L251" s="8"/>
    </row>
    <row r="252" spans="8:12" ht="15.75">
      <c r="H252" s="7"/>
      <c r="I252" s="7"/>
      <c r="J252" s="7"/>
      <c r="K252" s="7"/>
      <c r="L252" s="8"/>
    </row>
    <row r="253" spans="8:12" ht="15.75">
      <c r="H253" s="7"/>
      <c r="I253" s="7"/>
      <c r="J253" s="7"/>
      <c r="K253" s="7"/>
      <c r="L253" s="8"/>
    </row>
    <row r="254" spans="8:12" ht="15.75">
      <c r="H254" s="7"/>
      <c r="I254" s="7"/>
      <c r="J254" s="7"/>
      <c r="K254" s="7"/>
      <c r="L254" s="8"/>
    </row>
    <row r="255" spans="8:12" ht="15.75">
      <c r="H255" s="7"/>
      <c r="I255" s="7"/>
      <c r="J255" s="7"/>
      <c r="K255" s="7"/>
      <c r="L255" s="8"/>
    </row>
    <row r="256" spans="8:12" ht="15.75">
      <c r="H256" s="7"/>
      <c r="I256" s="7"/>
      <c r="J256" s="7"/>
      <c r="K256" s="7"/>
      <c r="L256" s="8"/>
    </row>
    <row r="257" spans="8:12" ht="15.75">
      <c r="H257" s="7"/>
      <c r="I257" s="7"/>
      <c r="J257" s="7"/>
      <c r="K257" s="7"/>
      <c r="L257" s="8"/>
    </row>
    <row r="258" spans="8:12" ht="15.75">
      <c r="H258" s="7"/>
      <c r="I258" s="7"/>
      <c r="J258" s="7"/>
      <c r="K258" s="7"/>
      <c r="L258" s="8"/>
    </row>
    <row r="259" spans="8:12" ht="15.75">
      <c r="H259" s="7"/>
      <c r="I259" s="7"/>
      <c r="J259" s="7"/>
      <c r="K259" s="7"/>
      <c r="L259" s="8"/>
    </row>
    <row r="260" spans="8:12" ht="15.75">
      <c r="H260" s="7"/>
      <c r="I260" s="7"/>
      <c r="J260" s="7"/>
      <c r="K260" s="7"/>
      <c r="L260" s="8"/>
    </row>
    <row r="261" spans="8:12" ht="15.75">
      <c r="H261" s="7"/>
      <c r="I261" s="7"/>
      <c r="J261" s="7"/>
      <c r="K261" s="7"/>
      <c r="L261" s="8"/>
    </row>
    <row r="262" spans="8:12" ht="15.75">
      <c r="H262" s="7"/>
      <c r="I262" s="7"/>
      <c r="J262" s="7"/>
      <c r="K262" s="7"/>
      <c r="L262" s="8"/>
    </row>
    <row r="263" spans="8:12" ht="15.75">
      <c r="H263" s="7"/>
      <c r="I263" s="7"/>
      <c r="J263" s="7"/>
      <c r="K263" s="7"/>
      <c r="L263" s="8"/>
    </row>
    <row r="264" spans="8:12" ht="15.75">
      <c r="H264" s="7"/>
      <c r="I264" s="7"/>
      <c r="J264" s="7"/>
      <c r="K264" s="7"/>
      <c r="L264" s="8"/>
    </row>
    <row r="265" spans="8:12" ht="15.75">
      <c r="H265" s="7"/>
      <c r="I265" s="7"/>
      <c r="J265" s="7"/>
      <c r="K265" s="7"/>
      <c r="L265" s="8"/>
    </row>
    <row r="266" spans="8:12" ht="15.75">
      <c r="H266" s="7"/>
      <c r="I266" s="7"/>
      <c r="J266" s="7"/>
      <c r="K266" s="7"/>
      <c r="L266" s="8"/>
    </row>
    <row r="267" spans="8:12" ht="15.75">
      <c r="H267" s="7"/>
      <c r="I267" s="7"/>
      <c r="J267" s="7"/>
      <c r="K267" s="7"/>
      <c r="L267" s="8"/>
    </row>
    <row r="268" spans="8:12" ht="15.75">
      <c r="H268" s="7"/>
      <c r="I268" s="7"/>
      <c r="J268" s="7"/>
      <c r="K268" s="7"/>
      <c r="L268" s="8"/>
    </row>
    <row r="269" spans="8:12" ht="15.75">
      <c r="H269" s="7"/>
      <c r="I269" s="7"/>
      <c r="J269" s="7"/>
      <c r="K269" s="7"/>
      <c r="L269" s="8"/>
    </row>
    <row r="270" spans="8:12" ht="15.75">
      <c r="H270" s="7"/>
      <c r="I270" s="7"/>
      <c r="J270" s="7"/>
      <c r="K270" s="7"/>
      <c r="L270" s="8"/>
    </row>
    <row r="271" spans="8:12" ht="15.75">
      <c r="H271" s="7"/>
      <c r="I271" s="7"/>
      <c r="J271" s="7"/>
      <c r="K271" s="7"/>
      <c r="L271" s="8"/>
    </row>
    <row r="272" spans="8:12" ht="15.75">
      <c r="H272" s="7"/>
      <c r="I272" s="7"/>
      <c r="J272" s="7"/>
      <c r="K272" s="7"/>
      <c r="L272" s="8"/>
    </row>
    <row r="273" spans="8:12" ht="15.75">
      <c r="H273" s="7"/>
      <c r="I273" s="7"/>
      <c r="J273" s="7"/>
      <c r="K273" s="7"/>
      <c r="L273" s="8"/>
    </row>
    <row r="274" spans="8:12" ht="15.75">
      <c r="H274" s="7"/>
      <c r="I274" s="7"/>
      <c r="J274" s="7"/>
      <c r="K274" s="7"/>
      <c r="L274" s="8"/>
    </row>
    <row r="275" spans="8:12" ht="15.75">
      <c r="H275" s="7"/>
      <c r="I275" s="7"/>
      <c r="J275" s="7"/>
      <c r="K275" s="7"/>
      <c r="L275" s="8"/>
    </row>
    <row r="276" spans="8:12" ht="15.75">
      <c r="H276" s="7"/>
      <c r="I276" s="7"/>
      <c r="J276" s="7"/>
      <c r="K276" s="7"/>
      <c r="L276" s="8"/>
    </row>
    <row r="277" spans="8:12" ht="15.75">
      <c r="H277" s="7"/>
      <c r="I277" s="7"/>
      <c r="J277" s="7"/>
      <c r="K277" s="7"/>
      <c r="L277" s="8"/>
    </row>
    <row r="278" spans="8:12" ht="15.75">
      <c r="H278" s="7"/>
      <c r="I278" s="7"/>
      <c r="J278" s="7"/>
      <c r="K278" s="7"/>
      <c r="L278" s="8"/>
    </row>
    <row r="279" spans="8:12" ht="15.75">
      <c r="H279" s="7"/>
      <c r="I279" s="7"/>
      <c r="J279" s="7"/>
      <c r="K279" s="7"/>
      <c r="L279" s="8"/>
    </row>
    <row r="280" spans="8:12" ht="15.75">
      <c r="H280" s="7"/>
      <c r="I280" s="7"/>
      <c r="J280" s="7"/>
      <c r="K280" s="7"/>
      <c r="L280" s="8"/>
    </row>
    <row r="281" spans="8:12" ht="15.75">
      <c r="H281" s="7"/>
      <c r="I281" s="7"/>
      <c r="J281" s="7"/>
      <c r="K281" s="7"/>
      <c r="L281" s="8"/>
    </row>
  </sheetData>
  <mergeCells count="84">
    <mergeCell ref="B57:F57"/>
    <mergeCell ref="B61:F61"/>
    <mergeCell ref="B84:F84"/>
    <mergeCell ref="B4:K4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B13:F13"/>
    <mergeCell ref="F14:F15"/>
    <mergeCell ref="G14:G15"/>
    <mergeCell ref="B16:F16"/>
    <mergeCell ref="F17:F19"/>
    <mergeCell ref="G17:G19"/>
    <mergeCell ref="B20:F20"/>
    <mergeCell ref="F21:F22"/>
    <mergeCell ref="G21:G22"/>
    <mergeCell ref="B23:F23"/>
    <mergeCell ref="B25:F25"/>
    <mergeCell ref="B42:F42"/>
    <mergeCell ref="B45:F45"/>
    <mergeCell ref="B27:F27"/>
    <mergeCell ref="B29:F29"/>
    <mergeCell ref="B31:F31"/>
    <mergeCell ref="F32:F39"/>
    <mergeCell ref="B40:F40"/>
    <mergeCell ref="B70:F70"/>
    <mergeCell ref="F75:F78"/>
    <mergeCell ref="G75:G78"/>
    <mergeCell ref="B65:F65"/>
    <mergeCell ref="F66:F69"/>
    <mergeCell ref="G66:G69"/>
    <mergeCell ref="G89:G92"/>
    <mergeCell ref="B79:F79"/>
    <mergeCell ref="F80:F81"/>
    <mergeCell ref="G80:G81"/>
    <mergeCell ref="B82:F82"/>
    <mergeCell ref="B103:F103"/>
    <mergeCell ref="B86:F86"/>
    <mergeCell ref="B88:F88"/>
    <mergeCell ref="F89:F92"/>
    <mergeCell ref="B95:F95"/>
    <mergeCell ref="B97:F97"/>
    <mergeCell ref="B99:F99"/>
    <mergeCell ref="B101:F101"/>
    <mergeCell ref="B148:F148"/>
    <mergeCell ref="D155:E155"/>
    <mergeCell ref="B139:F139"/>
    <mergeCell ref="B141:F141"/>
    <mergeCell ref="B144:F144"/>
    <mergeCell ref="B146:F146"/>
    <mergeCell ref="F142:F143"/>
    <mergeCell ref="B152:F152"/>
    <mergeCell ref="G114:G116"/>
    <mergeCell ref="G142:G143"/>
    <mergeCell ref="F131:F134"/>
    <mergeCell ref="G131:G134"/>
    <mergeCell ref="B137:F137"/>
    <mergeCell ref="B117:F117"/>
    <mergeCell ref="G32:G39"/>
    <mergeCell ref="B126:F126"/>
    <mergeCell ref="B135:F135"/>
    <mergeCell ref="B130:F130"/>
    <mergeCell ref="G106:G112"/>
    <mergeCell ref="B113:F113"/>
    <mergeCell ref="F121:F125"/>
    <mergeCell ref="G121:G125"/>
    <mergeCell ref="F106:F112"/>
    <mergeCell ref="F114:F116"/>
    <mergeCell ref="B59:F59"/>
    <mergeCell ref="B55:F55"/>
    <mergeCell ref="J3:K3"/>
    <mergeCell ref="B51:F51"/>
    <mergeCell ref="B53:F53"/>
    <mergeCell ref="F43:F44"/>
    <mergeCell ref="G43:G44"/>
    <mergeCell ref="B49:F49"/>
    <mergeCell ref="F46:F48"/>
    <mergeCell ref="G46:G48"/>
  </mergeCells>
  <printOptions/>
  <pageMargins left="0.6" right="0.2" top="0.2" bottom="0.2" header="0.23" footer="0.2"/>
  <pageSetup fitToHeight="3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7">
      <selection activeCell="F22" sqref="F22"/>
    </sheetView>
  </sheetViews>
  <sheetFormatPr defaultColWidth="7.875" defaultRowHeight="12.75"/>
  <cols>
    <col min="1" max="1" width="13.875" style="1" customWidth="1"/>
    <col min="2" max="2" width="49.25390625" style="1" customWidth="1"/>
    <col min="3" max="3" width="20.375" style="1" customWidth="1"/>
    <col min="4" max="4" width="20.625" style="1" customWidth="1"/>
    <col min="5" max="5" width="19.75390625" style="1" customWidth="1"/>
    <col min="6" max="6" width="24.75390625" style="1" customWidth="1"/>
    <col min="7" max="7" width="14.75390625" style="1" customWidth="1"/>
    <col min="8" max="8" width="12.75390625" style="1" customWidth="1"/>
    <col min="9" max="11" width="7.875" style="1" customWidth="1"/>
    <col min="12" max="16384" width="7.875" style="136" customWidth="1"/>
  </cols>
  <sheetData>
    <row r="1" spans="1:11" s="135" customFormat="1" ht="12.7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2.75" customHeight="1"/>
    <row r="3" spans="4:12" ht="146.25" customHeight="1">
      <c r="D3" s="192"/>
      <c r="E3" s="322" t="s">
        <v>436</v>
      </c>
      <c r="F3" s="322"/>
      <c r="L3" s="1"/>
    </row>
    <row r="5" spans="1:6" ht="60.75" customHeight="1">
      <c r="A5" s="326" t="s">
        <v>314</v>
      </c>
      <c r="B5" s="327"/>
      <c r="C5" s="327"/>
      <c r="D5" s="327"/>
      <c r="E5" s="327"/>
      <c r="F5" s="327"/>
    </row>
    <row r="6" ht="15.75">
      <c r="A6" s="137">
        <v>11542000000</v>
      </c>
    </row>
    <row r="7" ht="12.75">
      <c r="A7" s="1" t="s">
        <v>104</v>
      </c>
    </row>
    <row r="9" ht="16.5" thickBot="1">
      <c r="F9" s="5" t="s">
        <v>120</v>
      </c>
    </row>
    <row r="10" spans="1:6" ht="14.25" customHeight="1" thickBot="1">
      <c r="A10" s="328" t="s">
        <v>259</v>
      </c>
      <c r="B10" s="330" t="s">
        <v>260</v>
      </c>
      <c r="C10" s="332" t="s">
        <v>101</v>
      </c>
      <c r="D10" s="334" t="s">
        <v>19</v>
      </c>
      <c r="E10" s="336" t="s">
        <v>20</v>
      </c>
      <c r="F10" s="337"/>
    </row>
    <row r="11" spans="1:6" ht="30.75" thickBot="1">
      <c r="A11" s="329"/>
      <c r="B11" s="331"/>
      <c r="C11" s="333"/>
      <c r="D11" s="335"/>
      <c r="E11" s="138" t="s">
        <v>18</v>
      </c>
      <c r="F11" s="139" t="s">
        <v>22</v>
      </c>
    </row>
    <row r="12" spans="1:6" ht="13.5" thickBot="1">
      <c r="A12" s="140">
        <v>1</v>
      </c>
      <c r="B12" s="141">
        <v>2</v>
      </c>
      <c r="C12" s="141">
        <v>3</v>
      </c>
      <c r="D12" s="142">
        <v>4</v>
      </c>
      <c r="E12" s="141">
        <v>5</v>
      </c>
      <c r="F12" s="143">
        <v>6</v>
      </c>
    </row>
    <row r="13" spans="1:6" ht="36" customHeight="1" thickBot="1">
      <c r="A13" s="323" t="s">
        <v>261</v>
      </c>
      <c r="B13" s="324"/>
      <c r="C13" s="324"/>
      <c r="D13" s="324"/>
      <c r="E13" s="324"/>
      <c r="F13" s="325"/>
    </row>
    <row r="14" spans="1:6" ht="20.25">
      <c r="A14" s="144">
        <v>200000</v>
      </c>
      <c r="B14" s="145" t="s">
        <v>262</v>
      </c>
      <c r="C14" s="146">
        <f aca="true" t="shared" si="0" ref="C14:C40">SUM(D14:E14)</f>
        <v>54187191.92</v>
      </c>
      <c r="D14" s="147">
        <f>D15</f>
        <v>33467163.22</v>
      </c>
      <c r="E14" s="146">
        <f>E15</f>
        <v>20720028.7</v>
      </c>
      <c r="F14" s="148">
        <f>F15</f>
        <v>20376084.5</v>
      </c>
    </row>
    <row r="15" spans="1:6" ht="40.5">
      <c r="A15" s="144">
        <v>208000</v>
      </c>
      <c r="B15" s="145" t="s">
        <v>263</v>
      </c>
      <c r="C15" s="146">
        <f t="shared" si="0"/>
        <v>54187191.92</v>
      </c>
      <c r="D15" s="147">
        <f>D18-D20+D22</f>
        <v>33467163.22</v>
      </c>
      <c r="E15" s="146">
        <f>E18-E20+E22</f>
        <v>20720028.7</v>
      </c>
      <c r="F15" s="148">
        <f>F18-F20+F22</f>
        <v>20376084.5</v>
      </c>
    </row>
    <row r="16" spans="1:6" ht="20.25" customHeight="1" hidden="1">
      <c r="A16" s="144"/>
      <c r="B16" s="145" t="s">
        <v>264</v>
      </c>
      <c r="C16" s="146">
        <f t="shared" si="0"/>
        <v>54187191.92</v>
      </c>
      <c r="D16" s="147">
        <f aca="true" t="shared" si="1" ref="D16:F17">D18-D20</f>
        <v>51523827.72</v>
      </c>
      <c r="E16" s="146">
        <f t="shared" si="1"/>
        <v>2663364.2</v>
      </c>
      <c r="F16" s="148">
        <f t="shared" si="1"/>
        <v>2319420</v>
      </c>
    </row>
    <row r="17" spans="1:6" ht="20.25" customHeight="1" hidden="1">
      <c r="A17" s="144"/>
      <c r="B17" s="145" t="s">
        <v>265</v>
      </c>
      <c r="C17" s="146">
        <f t="shared" si="0"/>
        <v>1979744.5</v>
      </c>
      <c r="D17" s="147">
        <f t="shared" si="1"/>
        <v>179744.5</v>
      </c>
      <c r="E17" s="146">
        <f t="shared" si="1"/>
        <v>1800000</v>
      </c>
      <c r="F17" s="148">
        <f t="shared" si="1"/>
        <v>1800000</v>
      </c>
    </row>
    <row r="18" spans="1:6" ht="20.25" customHeight="1">
      <c r="A18" s="149">
        <v>208100</v>
      </c>
      <c r="B18" s="150" t="s">
        <v>266</v>
      </c>
      <c r="C18" s="151">
        <f t="shared" si="0"/>
        <v>54639275.86</v>
      </c>
      <c r="D18" s="151">
        <v>51732675.96</v>
      </c>
      <c r="E18" s="151">
        <v>2906599.9</v>
      </c>
      <c r="F18" s="151">
        <v>2536453.37</v>
      </c>
    </row>
    <row r="19" spans="1:8" ht="51.75" customHeight="1">
      <c r="A19" s="149"/>
      <c r="B19" s="145" t="s">
        <v>265</v>
      </c>
      <c r="C19" s="151">
        <f t="shared" si="0"/>
        <v>2055869.5</v>
      </c>
      <c r="D19" s="151">
        <v>255869.5</v>
      </c>
      <c r="E19" s="151">
        <v>1800000</v>
      </c>
      <c r="F19" s="151">
        <v>1800000</v>
      </c>
      <c r="H19" s="152"/>
    </row>
    <row r="20" spans="1:8" ht="20.25" customHeight="1">
      <c r="A20" s="149">
        <v>208200</v>
      </c>
      <c r="B20" s="150" t="s">
        <v>267</v>
      </c>
      <c r="C20" s="151">
        <f t="shared" si="0"/>
        <v>452083.940000002</v>
      </c>
      <c r="D20" s="151">
        <f>D18-(42190127.72+600000+3396100+50000+468400+15000+3317200+1487000)</f>
        <v>208848.2400000021</v>
      </c>
      <c r="E20" s="151">
        <f>E18-2077700-343944.2-42720-199000</f>
        <v>243235.6999999999</v>
      </c>
      <c r="F20" s="151">
        <f>F18-2077700-42720-199000</f>
        <v>217033.3700000001</v>
      </c>
      <c r="G20" s="152"/>
      <c r="H20" s="152"/>
    </row>
    <row r="21" spans="1:8" ht="45.75" customHeight="1">
      <c r="A21" s="149"/>
      <c r="B21" s="145" t="s">
        <v>265</v>
      </c>
      <c r="C21" s="151">
        <f t="shared" si="0"/>
        <v>76125</v>
      </c>
      <c r="D21" s="151">
        <f>D19-179744.5</f>
        <v>76125</v>
      </c>
      <c r="E21" s="151">
        <v>0</v>
      </c>
      <c r="F21" s="151">
        <v>0</v>
      </c>
      <c r="H21" s="152"/>
    </row>
    <row r="22" spans="1:6" ht="69.75" customHeight="1" thickBot="1">
      <c r="A22" s="149">
        <v>208400</v>
      </c>
      <c r="B22" s="150" t="s">
        <v>268</v>
      </c>
      <c r="C22" s="151">
        <f t="shared" si="0"/>
        <v>0</v>
      </c>
      <c r="D22" s="151">
        <v>-18056664.5</v>
      </c>
      <c r="E22" s="151">
        <v>18056664.5</v>
      </c>
      <c r="F22" s="151">
        <v>18056664.5</v>
      </c>
    </row>
    <row r="23" spans="1:6" ht="20.25" customHeight="1" hidden="1">
      <c r="A23" s="153"/>
      <c r="B23" s="150" t="s">
        <v>269</v>
      </c>
      <c r="C23" s="151">
        <f>SUM(D23:E23)</f>
        <v>0</v>
      </c>
      <c r="D23" s="154"/>
      <c r="E23" s="151"/>
      <c r="F23" s="155"/>
    </row>
    <row r="24" spans="1:6" ht="42.75" customHeight="1" hidden="1">
      <c r="A24" s="153"/>
      <c r="B24" s="150" t="s">
        <v>270</v>
      </c>
      <c r="C24" s="151">
        <f>SUM(D24:E24)</f>
        <v>0</v>
      </c>
      <c r="D24" s="154"/>
      <c r="E24" s="151"/>
      <c r="F24" s="155"/>
    </row>
    <row r="25" spans="1:6" ht="43.5" customHeight="1" hidden="1">
      <c r="A25" s="156"/>
      <c r="B25" s="157" t="s">
        <v>271</v>
      </c>
      <c r="C25" s="158">
        <f t="shared" si="0"/>
        <v>0</v>
      </c>
      <c r="D25" s="159"/>
      <c r="E25" s="158"/>
      <c r="F25" s="151">
        <f>E25</f>
        <v>0</v>
      </c>
    </row>
    <row r="26" spans="1:6" ht="21" thickBot="1">
      <c r="A26" s="160" t="s">
        <v>272</v>
      </c>
      <c r="B26" s="161" t="s">
        <v>273</v>
      </c>
      <c r="C26" s="162">
        <f t="shared" si="0"/>
        <v>54187191.92</v>
      </c>
      <c r="D26" s="163">
        <f>D14</f>
        <v>33467163.22</v>
      </c>
      <c r="E26" s="162">
        <f>E14</f>
        <v>20720028.7</v>
      </c>
      <c r="F26" s="164">
        <f>F14</f>
        <v>20376084.5</v>
      </c>
    </row>
    <row r="27" spans="1:6" ht="20.25" customHeight="1" thickBot="1">
      <c r="A27" s="323" t="s">
        <v>274</v>
      </c>
      <c r="B27" s="324"/>
      <c r="C27" s="324"/>
      <c r="D27" s="324"/>
      <c r="E27" s="324"/>
      <c r="F27" s="325"/>
    </row>
    <row r="28" spans="1:6" ht="40.5">
      <c r="A28" s="144">
        <v>600000</v>
      </c>
      <c r="B28" s="145" t="s">
        <v>275</v>
      </c>
      <c r="C28" s="146">
        <f t="shared" si="0"/>
        <v>54187191.92</v>
      </c>
      <c r="D28" s="147">
        <f>D29</f>
        <v>33467163.22</v>
      </c>
      <c r="E28" s="146">
        <f>E29</f>
        <v>20720028.7</v>
      </c>
      <c r="F28" s="148">
        <f>F29</f>
        <v>20376084.5</v>
      </c>
    </row>
    <row r="29" spans="1:6" ht="20.25">
      <c r="A29" s="165" t="s">
        <v>276</v>
      </c>
      <c r="B29" s="150" t="s">
        <v>277</v>
      </c>
      <c r="C29" s="166">
        <f t="shared" si="0"/>
        <v>54187191.92</v>
      </c>
      <c r="D29" s="154">
        <f>D32-D34+D36</f>
        <v>33467163.22</v>
      </c>
      <c r="E29" s="166">
        <f>E32-E34+E36</f>
        <v>20720028.7</v>
      </c>
      <c r="F29" s="167">
        <f>F32-F34+F36</f>
        <v>20376084.5</v>
      </c>
    </row>
    <row r="30" spans="1:6" ht="20.25" customHeight="1" hidden="1">
      <c r="A30" s="165"/>
      <c r="B30" s="145" t="s">
        <v>264</v>
      </c>
      <c r="C30" s="166">
        <f t="shared" si="0"/>
        <v>54187191.92</v>
      </c>
      <c r="D30" s="154">
        <f aca="true" t="shared" si="2" ref="D30:F31">D32-D34</f>
        <v>51523827.72</v>
      </c>
      <c r="E30" s="166">
        <f t="shared" si="2"/>
        <v>2663364.2</v>
      </c>
      <c r="F30" s="167">
        <f t="shared" si="2"/>
        <v>2319420</v>
      </c>
    </row>
    <row r="31" spans="1:6" ht="20.25" customHeight="1" hidden="1">
      <c r="A31" s="165"/>
      <c r="B31" s="145" t="s">
        <v>278</v>
      </c>
      <c r="C31" s="166">
        <f>SUM(D31:E31)</f>
        <v>1979744.5</v>
      </c>
      <c r="D31" s="154">
        <f t="shared" si="2"/>
        <v>179744.5</v>
      </c>
      <c r="E31" s="166">
        <f t="shared" si="2"/>
        <v>1800000</v>
      </c>
      <c r="F31" s="167">
        <f t="shared" si="2"/>
        <v>1800000</v>
      </c>
    </row>
    <row r="32" spans="1:6" ht="20.25" customHeight="1">
      <c r="A32" s="165" t="s">
        <v>279</v>
      </c>
      <c r="B32" s="150" t="s">
        <v>266</v>
      </c>
      <c r="C32" s="166">
        <f t="shared" si="0"/>
        <v>54639275.86</v>
      </c>
      <c r="D32" s="151">
        <f aca="true" t="shared" si="3" ref="D32:F39">D18</f>
        <v>51732675.96</v>
      </c>
      <c r="E32" s="166">
        <f t="shared" si="3"/>
        <v>2906599.9</v>
      </c>
      <c r="F32" s="166">
        <f t="shared" si="3"/>
        <v>2536453.37</v>
      </c>
    </row>
    <row r="33" spans="1:6" ht="20.25" customHeight="1">
      <c r="A33" s="165"/>
      <c r="B33" s="145" t="s">
        <v>278</v>
      </c>
      <c r="C33" s="166">
        <f>SUM(D33:E33)</f>
        <v>2055869.5</v>
      </c>
      <c r="D33" s="151">
        <f t="shared" si="3"/>
        <v>255869.5</v>
      </c>
      <c r="E33" s="166">
        <f t="shared" si="3"/>
        <v>1800000</v>
      </c>
      <c r="F33" s="166">
        <f t="shared" si="3"/>
        <v>1800000</v>
      </c>
    </row>
    <row r="34" spans="1:6" ht="20.25" customHeight="1">
      <c r="A34" s="168" t="s">
        <v>280</v>
      </c>
      <c r="B34" s="150" t="s">
        <v>267</v>
      </c>
      <c r="C34" s="166">
        <f t="shared" si="0"/>
        <v>452083.940000002</v>
      </c>
      <c r="D34" s="151">
        <f t="shared" si="3"/>
        <v>208848.2400000021</v>
      </c>
      <c r="E34" s="166">
        <f t="shared" si="3"/>
        <v>243235.6999999999</v>
      </c>
      <c r="F34" s="166">
        <f t="shared" si="3"/>
        <v>217033.3700000001</v>
      </c>
    </row>
    <row r="35" spans="1:6" ht="20.25" customHeight="1" hidden="1">
      <c r="A35" s="168"/>
      <c r="B35" s="145" t="s">
        <v>265</v>
      </c>
      <c r="C35" s="166">
        <f>SUM(D35:E35)</f>
        <v>76125</v>
      </c>
      <c r="D35" s="151">
        <f t="shared" si="3"/>
        <v>76125</v>
      </c>
      <c r="E35" s="166">
        <f t="shared" si="3"/>
        <v>0</v>
      </c>
      <c r="F35" s="166">
        <f t="shared" si="3"/>
        <v>0</v>
      </c>
    </row>
    <row r="36" spans="1:6" ht="81.75" thickBot="1">
      <c r="A36" s="168" t="s">
        <v>281</v>
      </c>
      <c r="B36" s="150" t="s">
        <v>268</v>
      </c>
      <c r="C36" s="166">
        <f t="shared" si="0"/>
        <v>0</v>
      </c>
      <c r="D36" s="151">
        <f t="shared" si="3"/>
        <v>-18056664.5</v>
      </c>
      <c r="E36" s="166">
        <f t="shared" si="3"/>
        <v>18056664.5</v>
      </c>
      <c r="F36" s="166">
        <f t="shared" si="3"/>
        <v>18056664.5</v>
      </c>
    </row>
    <row r="37" spans="1:6" ht="20.25" customHeight="1" hidden="1">
      <c r="A37" s="153"/>
      <c r="B37" s="150" t="s">
        <v>269</v>
      </c>
      <c r="C37" s="166">
        <f>SUM(D37:E37)</f>
        <v>0</v>
      </c>
      <c r="D37" s="154">
        <f t="shared" si="3"/>
        <v>0</v>
      </c>
      <c r="E37" s="166">
        <f t="shared" si="3"/>
        <v>0</v>
      </c>
      <c r="F37" s="167">
        <f t="shared" si="3"/>
        <v>0</v>
      </c>
    </row>
    <row r="38" spans="1:6" ht="20.25" customHeight="1" hidden="1">
      <c r="A38" s="153"/>
      <c r="B38" s="150" t="s">
        <v>270</v>
      </c>
      <c r="C38" s="166">
        <f>SUM(D38:E38)</f>
        <v>0</v>
      </c>
      <c r="D38" s="154">
        <f t="shared" si="3"/>
        <v>0</v>
      </c>
      <c r="E38" s="166">
        <f t="shared" si="3"/>
        <v>0</v>
      </c>
      <c r="F38" s="167">
        <f t="shared" si="3"/>
        <v>0</v>
      </c>
    </row>
    <row r="39" spans="1:6" ht="20.25" customHeight="1" hidden="1">
      <c r="A39" s="156"/>
      <c r="B39" s="157" t="s">
        <v>271</v>
      </c>
      <c r="C39" s="169">
        <f t="shared" si="0"/>
        <v>0</v>
      </c>
      <c r="D39" s="159">
        <f t="shared" si="3"/>
        <v>0</v>
      </c>
      <c r="E39" s="169">
        <f t="shared" si="3"/>
        <v>0</v>
      </c>
      <c r="F39" s="170">
        <f t="shared" si="3"/>
        <v>0</v>
      </c>
    </row>
    <row r="40" spans="1:6" ht="21" thickBot="1">
      <c r="A40" s="160" t="s">
        <v>272</v>
      </c>
      <c r="B40" s="161" t="s">
        <v>273</v>
      </c>
      <c r="C40" s="171">
        <f t="shared" si="0"/>
        <v>54187191.92</v>
      </c>
      <c r="D40" s="172">
        <f>D28</f>
        <v>33467163.22</v>
      </c>
      <c r="E40" s="171">
        <f>E28</f>
        <v>20720028.7</v>
      </c>
      <c r="F40" s="173">
        <f>F28</f>
        <v>20376084.5</v>
      </c>
    </row>
    <row r="41" spans="1:6" ht="20.25" hidden="1">
      <c r="A41" s="174" t="s">
        <v>282</v>
      </c>
      <c r="B41" s="174" t="s">
        <v>273</v>
      </c>
      <c r="C41" s="175">
        <f>SUM(D41:E41)</f>
        <v>54187191.92</v>
      </c>
      <c r="D41" s="176">
        <f>D28</f>
        <v>33467163.22</v>
      </c>
      <c r="E41" s="177">
        <f>E28</f>
        <v>20720028.7</v>
      </c>
      <c r="F41" s="177">
        <f>F28</f>
        <v>20376084.5</v>
      </c>
    </row>
    <row r="43" spans="2:4" ht="18.75">
      <c r="B43" s="178"/>
      <c r="C43" s="178"/>
      <c r="D43" s="178"/>
    </row>
    <row r="44" spans="1:4" ht="18.75">
      <c r="A44" s="179" t="s">
        <v>256</v>
      </c>
      <c r="B44" s="32"/>
      <c r="C44" s="180"/>
      <c r="D44" s="68" t="s">
        <v>196</v>
      </c>
    </row>
  </sheetData>
  <mergeCells count="9">
    <mergeCell ref="E3:F3"/>
    <mergeCell ref="A13:F13"/>
    <mergeCell ref="A27:F27"/>
    <mergeCell ref="A5:F5"/>
    <mergeCell ref="A10:A11"/>
    <mergeCell ref="B10:B11"/>
    <mergeCell ref="C10:C11"/>
    <mergeCell ref="D10:D11"/>
    <mergeCell ref="E10:F10"/>
  </mergeCells>
  <printOptions/>
  <pageMargins left="0.52" right="0.21" top="0.33" bottom="0.36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C29">
      <selection activeCell="C16" sqref="A1:IV16384"/>
    </sheetView>
  </sheetViews>
  <sheetFormatPr defaultColWidth="9.00390625" defaultRowHeight="12.75"/>
  <cols>
    <col min="1" max="3" width="9.125" style="276" customWidth="1"/>
    <col min="4" max="4" width="42.75390625" style="276" customWidth="1"/>
    <col min="5" max="5" width="52.25390625" style="276" customWidth="1"/>
    <col min="6" max="6" width="10.25390625" style="276" customWidth="1"/>
    <col min="7" max="7" width="13.625" style="276" customWidth="1"/>
    <col min="8" max="8" width="9.125" style="276" customWidth="1"/>
    <col min="9" max="9" width="16.625" style="276" customWidth="1"/>
    <col min="10" max="16384" width="9.125" style="276" customWidth="1"/>
  </cols>
  <sheetData>
    <row r="1" spans="1:10" ht="15.75">
      <c r="A1" s="206"/>
      <c r="B1" s="206"/>
      <c r="C1" s="206"/>
      <c r="D1" s="206"/>
      <c r="E1" s="206"/>
      <c r="F1" s="206"/>
      <c r="G1" s="206"/>
      <c r="H1" s="341" t="s">
        <v>411</v>
      </c>
      <c r="I1" s="341"/>
      <c r="J1" s="207"/>
    </row>
    <row r="2" spans="4:10" ht="114.75" customHeight="1">
      <c r="D2" s="277"/>
      <c r="G2" s="208"/>
      <c r="H2" s="342" t="s">
        <v>435</v>
      </c>
      <c r="I2" s="342"/>
      <c r="J2" s="342"/>
    </row>
    <row r="5" spans="1:10" ht="15.75">
      <c r="A5" s="338" t="s">
        <v>412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 ht="26.25" customHeight="1">
      <c r="A6" s="343" t="s">
        <v>413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5.75">
      <c r="A7" s="338" t="s">
        <v>414</v>
      </c>
      <c r="B7" s="338"/>
      <c r="C7" s="338"/>
      <c r="D7" s="338"/>
      <c r="E7" s="338"/>
      <c r="F7" s="338"/>
      <c r="G7" s="338"/>
      <c r="H7" s="338"/>
      <c r="I7" s="338"/>
      <c r="J7" s="338"/>
    </row>
    <row r="8" spans="1:3" ht="15.75">
      <c r="A8" s="339">
        <v>11542000000</v>
      </c>
      <c r="B8" s="339"/>
      <c r="C8" s="339"/>
    </row>
    <row r="9" s="278" customFormat="1" ht="12.75">
      <c r="A9" s="209" t="s">
        <v>104</v>
      </c>
    </row>
    <row r="10" ht="15.75">
      <c r="A10" s="210"/>
    </row>
    <row r="11" spans="1:9" ht="20.25" customHeight="1">
      <c r="A11" s="210"/>
      <c r="I11" s="277" t="s">
        <v>120</v>
      </c>
    </row>
    <row r="12" spans="1:10" s="278" customFormat="1" ht="368.25" customHeight="1">
      <c r="A12" s="211" t="s">
        <v>116</v>
      </c>
      <c r="B12" s="211" t="s">
        <v>117</v>
      </c>
      <c r="C12" s="211" t="s">
        <v>23</v>
      </c>
      <c r="D12" s="217" t="s">
        <v>415</v>
      </c>
      <c r="E12" s="217" t="s">
        <v>416</v>
      </c>
      <c r="F12" s="217" t="s">
        <v>417</v>
      </c>
      <c r="G12" s="217" t="s">
        <v>418</v>
      </c>
      <c r="H12" s="217" t="s">
        <v>419</v>
      </c>
      <c r="I12" s="217" t="s">
        <v>420</v>
      </c>
      <c r="J12" s="217" t="s">
        <v>421</v>
      </c>
    </row>
    <row r="13" spans="1:10" s="278" customFormat="1" ht="12.75">
      <c r="A13" s="212">
        <v>1</v>
      </c>
      <c r="B13" s="212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</row>
    <row r="14" spans="1:10" s="278" customFormat="1" ht="15.75">
      <c r="A14" s="44" t="s">
        <v>29</v>
      </c>
      <c r="B14" s="44"/>
      <c r="C14" s="45"/>
      <c r="D14" s="37" t="s">
        <v>189</v>
      </c>
      <c r="E14" s="212"/>
      <c r="F14" s="212"/>
      <c r="G14" s="212"/>
      <c r="H14" s="212"/>
      <c r="I14" s="213">
        <f>I15</f>
        <v>197700</v>
      </c>
      <c r="J14" s="212"/>
    </row>
    <row r="15" spans="1:10" s="278" customFormat="1" ht="15.75">
      <c r="A15" s="4" t="s">
        <v>30</v>
      </c>
      <c r="B15" s="4"/>
      <c r="C15" s="98"/>
      <c r="D15" s="37" t="s">
        <v>189</v>
      </c>
      <c r="E15" s="212"/>
      <c r="F15" s="212"/>
      <c r="G15" s="212"/>
      <c r="H15" s="212"/>
      <c r="I15" s="213">
        <f>I16</f>
        <v>197700</v>
      </c>
      <c r="J15" s="212"/>
    </row>
    <row r="16" spans="1:10" s="278" customFormat="1" ht="31.5">
      <c r="A16" s="4" t="s">
        <v>126</v>
      </c>
      <c r="B16" s="29">
        <v>2010</v>
      </c>
      <c r="C16" s="28" t="s">
        <v>39</v>
      </c>
      <c r="D16" s="36" t="s">
        <v>40</v>
      </c>
      <c r="E16" s="212"/>
      <c r="F16" s="212"/>
      <c r="G16" s="212"/>
      <c r="H16" s="212"/>
      <c r="I16" s="213">
        <f>I18+I19+I20+I21</f>
        <v>197700</v>
      </c>
      <c r="J16" s="212"/>
    </row>
    <row r="17" spans="1:10" s="278" customFormat="1" ht="15.75">
      <c r="A17" s="4"/>
      <c r="B17" s="29"/>
      <c r="C17" s="28"/>
      <c r="D17" s="36"/>
      <c r="E17" s="100" t="s">
        <v>102</v>
      </c>
      <c r="F17" s="212"/>
      <c r="G17" s="212"/>
      <c r="H17" s="212"/>
      <c r="I17" s="213"/>
      <c r="J17" s="212"/>
    </row>
    <row r="18" spans="1:10" s="278" customFormat="1" ht="15.75" hidden="1">
      <c r="A18" s="4"/>
      <c r="B18" s="29"/>
      <c r="C18" s="28"/>
      <c r="D18" s="36"/>
      <c r="E18" s="100"/>
      <c r="F18" s="212"/>
      <c r="G18" s="212"/>
      <c r="H18" s="212"/>
      <c r="I18" s="213"/>
      <c r="J18" s="212"/>
    </row>
    <row r="19" spans="1:10" s="278" customFormat="1" ht="106.5" customHeight="1">
      <c r="A19" s="4"/>
      <c r="B19" s="29"/>
      <c r="C19" s="28"/>
      <c r="D19" s="36"/>
      <c r="E19" s="100" t="s">
        <v>422</v>
      </c>
      <c r="F19" s="212"/>
      <c r="G19" s="212"/>
      <c r="H19" s="212"/>
      <c r="I19" s="213">
        <v>97700</v>
      </c>
      <c r="J19" s="212"/>
    </row>
    <row r="20" spans="1:10" s="278" customFormat="1" ht="99" customHeight="1" hidden="1">
      <c r="A20" s="4"/>
      <c r="B20" s="29"/>
      <c r="C20" s="28"/>
      <c r="D20" s="36"/>
      <c r="E20" s="100"/>
      <c r="F20" s="212"/>
      <c r="G20" s="212"/>
      <c r="H20" s="212"/>
      <c r="I20" s="213"/>
      <c r="J20" s="212"/>
    </row>
    <row r="21" spans="1:10" s="278" customFormat="1" ht="145.5" customHeight="1">
      <c r="A21" s="4"/>
      <c r="B21" s="29"/>
      <c r="C21" s="28"/>
      <c r="D21" s="36"/>
      <c r="E21" s="100" t="s">
        <v>14</v>
      </c>
      <c r="F21" s="212"/>
      <c r="G21" s="212"/>
      <c r="H21" s="212"/>
      <c r="I21" s="213">
        <v>100000</v>
      </c>
      <c r="J21" s="212"/>
    </row>
    <row r="22" spans="1:10" s="278" customFormat="1" ht="15.75">
      <c r="A22" s="44" t="s">
        <v>53</v>
      </c>
      <c r="B22" s="44"/>
      <c r="C22" s="47"/>
      <c r="D22" s="37" t="s">
        <v>190</v>
      </c>
      <c r="E22" s="100"/>
      <c r="F22" s="212"/>
      <c r="G22" s="212"/>
      <c r="H22" s="212"/>
      <c r="I22" s="213">
        <f>I23</f>
        <v>2124284.5</v>
      </c>
      <c r="J22" s="212"/>
    </row>
    <row r="23" spans="1:10" s="278" customFormat="1" ht="15.75">
      <c r="A23" s="4" t="s">
        <v>54</v>
      </c>
      <c r="B23" s="4"/>
      <c r="C23" s="28"/>
      <c r="D23" s="37" t="s">
        <v>190</v>
      </c>
      <c r="E23" s="100"/>
      <c r="F23" s="212"/>
      <c r="G23" s="212"/>
      <c r="H23" s="212"/>
      <c r="I23" s="213">
        <f>I27+I24</f>
        <v>2124284.5</v>
      </c>
      <c r="J23" s="212"/>
    </row>
    <row r="24" spans="1:10" s="278" customFormat="1" ht="47.25">
      <c r="A24" s="4" t="s">
        <v>157</v>
      </c>
      <c r="B24" s="3">
        <v>1021</v>
      </c>
      <c r="C24" s="4" t="s">
        <v>56</v>
      </c>
      <c r="D24" s="36" t="s">
        <v>156</v>
      </c>
      <c r="E24" s="100"/>
      <c r="F24" s="212"/>
      <c r="G24" s="212"/>
      <c r="H24" s="212"/>
      <c r="I24" s="213">
        <f>I26</f>
        <v>99000</v>
      </c>
      <c r="J24" s="212"/>
    </row>
    <row r="25" spans="1:10" s="278" customFormat="1" ht="15.75">
      <c r="A25" s="4"/>
      <c r="B25" s="4"/>
      <c r="C25" s="28"/>
      <c r="D25" s="37"/>
      <c r="E25" s="100" t="s">
        <v>102</v>
      </c>
      <c r="F25" s="212"/>
      <c r="G25" s="212"/>
      <c r="H25" s="212"/>
      <c r="I25" s="213"/>
      <c r="J25" s="212"/>
    </row>
    <row r="26" spans="1:10" s="278" customFormat="1" ht="141.75">
      <c r="A26" s="4"/>
      <c r="B26" s="4"/>
      <c r="C26" s="28"/>
      <c r="D26" s="37"/>
      <c r="E26" s="100" t="s">
        <v>432</v>
      </c>
      <c r="F26" s="212"/>
      <c r="G26" s="212"/>
      <c r="H26" s="212"/>
      <c r="I26" s="213">
        <v>99000</v>
      </c>
      <c r="J26" s="212"/>
    </row>
    <row r="27" spans="1:10" s="278" customFormat="1" ht="63">
      <c r="A27" s="4" t="s">
        <v>288</v>
      </c>
      <c r="B27" s="3">
        <v>7363</v>
      </c>
      <c r="C27" s="4" t="s">
        <v>289</v>
      </c>
      <c r="D27" s="36" t="s">
        <v>290</v>
      </c>
      <c r="E27" s="100"/>
      <c r="F27" s="212"/>
      <c r="G27" s="212"/>
      <c r="H27" s="212"/>
      <c r="I27" s="213">
        <f>I29+I30+I31+I32+I40</f>
        <v>2025284.5</v>
      </c>
      <c r="J27" s="212"/>
    </row>
    <row r="28" spans="1:10" s="278" customFormat="1" ht="15.75">
      <c r="A28" s="4"/>
      <c r="B28" s="3"/>
      <c r="C28" s="4"/>
      <c r="D28" s="36"/>
      <c r="E28" s="100" t="s">
        <v>102</v>
      </c>
      <c r="F28" s="212"/>
      <c r="G28" s="212"/>
      <c r="H28" s="212"/>
      <c r="I28" s="213"/>
      <c r="J28" s="212"/>
    </row>
    <row r="29" spans="1:10" s="278" customFormat="1" ht="94.5">
      <c r="A29" s="4"/>
      <c r="B29" s="3"/>
      <c r="C29" s="4"/>
      <c r="D29" s="36"/>
      <c r="E29" s="100" t="s">
        <v>423</v>
      </c>
      <c r="F29" s="38" t="s">
        <v>424</v>
      </c>
      <c r="G29" s="38">
        <v>5516491</v>
      </c>
      <c r="H29" s="212"/>
      <c r="I29" s="213">
        <v>1922000.88</v>
      </c>
      <c r="J29" s="212"/>
    </row>
    <row r="30" spans="1:10" s="278" customFormat="1" ht="110.25">
      <c r="A30" s="4"/>
      <c r="B30" s="3"/>
      <c r="C30" s="4"/>
      <c r="D30" s="36"/>
      <c r="E30" s="100" t="s">
        <v>16</v>
      </c>
      <c r="F30" s="38"/>
      <c r="G30" s="38"/>
      <c r="H30" s="212"/>
      <c r="I30" s="213">
        <v>21360</v>
      </c>
      <c r="J30" s="212"/>
    </row>
    <row r="31" spans="1:10" s="278" customFormat="1" ht="94.5">
      <c r="A31" s="4"/>
      <c r="B31" s="3"/>
      <c r="C31" s="4"/>
      <c r="D31" s="36"/>
      <c r="E31" s="100" t="s">
        <v>15</v>
      </c>
      <c r="F31" s="38"/>
      <c r="G31" s="38"/>
      <c r="H31" s="212"/>
      <c r="I31" s="213">
        <v>2820</v>
      </c>
      <c r="J31" s="212"/>
    </row>
    <row r="32" spans="1:10" s="278" customFormat="1" ht="98.25" customHeight="1">
      <c r="A32" s="4"/>
      <c r="B32" s="3"/>
      <c r="C32" s="4"/>
      <c r="D32" s="36"/>
      <c r="E32" s="100" t="s">
        <v>425</v>
      </c>
      <c r="F32" s="38" t="s">
        <v>424</v>
      </c>
      <c r="G32" s="38">
        <v>1709041</v>
      </c>
      <c r="H32" s="212"/>
      <c r="I32" s="213">
        <v>57743.62</v>
      </c>
      <c r="J32" s="212"/>
    </row>
    <row r="33" spans="1:10" s="278" customFormat="1" ht="15.75" hidden="1">
      <c r="A33" s="44" t="s">
        <v>154</v>
      </c>
      <c r="B33" s="4"/>
      <c r="C33" s="28"/>
      <c r="D33" s="37" t="s">
        <v>193</v>
      </c>
      <c r="E33" s="212"/>
      <c r="F33" s="212"/>
      <c r="G33" s="212"/>
      <c r="H33" s="212"/>
      <c r="I33" s="213">
        <f>I34</f>
        <v>0</v>
      </c>
      <c r="J33" s="212"/>
    </row>
    <row r="34" spans="1:10" s="278" customFormat="1" ht="15.75" hidden="1">
      <c r="A34" s="214" t="s">
        <v>155</v>
      </c>
      <c r="B34" s="4"/>
      <c r="C34" s="28"/>
      <c r="D34" s="36" t="s">
        <v>193</v>
      </c>
      <c r="E34" s="212"/>
      <c r="F34" s="212"/>
      <c r="G34" s="212"/>
      <c r="H34" s="212"/>
      <c r="I34" s="213">
        <f>I35+I38</f>
        <v>0</v>
      </c>
      <c r="J34" s="212"/>
    </row>
    <row r="35" spans="1:10" s="278" customFormat="1" ht="39.75" customHeight="1" hidden="1">
      <c r="A35" s="4" t="s">
        <v>426</v>
      </c>
      <c r="B35" s="29">
        <v>7330</v>
      </c>
      <c r="C35" s="4" t="s">
        <v>291</v>
      </c>
      <c r="D35" s="36" t="s">
        <v>292</v>
      </c>
      <c r="E35" s="212"/>
      <c r="F35" s="212"/>
      <c r="G35" s="212"/>
      <c r="H35" s="212"/>
      <c r="I35" s="213">
        <f>I36+I37</f>
        <v>0</v>
      </c>
      <c r="J35" s="212"/>
    </row>
    <row r="36" spans="1:10" s="278" customFormat="1" ht="72" customHeight="1" hidden="1">
      <c r="A36" s="212"/>
      <c r="B36" s="212"/>
      <c r="C36" s="212"/>
      <c r="D36" s="279"/>
      <c r="E36" s="100" t="s">
        <v>427</v>
      </c>
      <c r="F36" s="212"/>
      <c r="G36" s="212"/>
      <c r="H36" s="212"/>
      <c r="I36" s="213">
        <f>100000+(-100000)</f>
        <v>0</v>
      </c>
      <c r="J36" s="212"/>
    </row>
    <row r="37" spans="1:10" s="278" customFormat="1" ht="89.25" customHeight="1" hidden="1">
      <c r="A37" s="212"/>
      <c r="B37" s="212"/>
      <c r="C37" s="212"/>
      <c r="D37" s="279"/>
      <c r="E37" s="100" t="s">
        <v>428</v>
      </c>
      <c r="F37" s="212"/>
      <c r="G37" s="212"/>
      <c r="H37" s="212"/>
      <c r="I37" s="213">
        <f>500000+(-500000)</f>
        <v>0</v>
      </c>
      <c r="J37" s="212"/>
    </row>
    <row r="38" spans="1:10" s="278" customFormat="1" ht="52.5" customHeight="1" hidden="1">
      <c r="A38" s="29"/>
      <c r="B38" s="29"/>
      <c r="C38" s="4"/>
      <c r="D38" s="36"/>
      <c r="E38" s="29"/>
      <c r="F38" s="212"/>
      <c r="G38" s="212"/>
      <c r="H38" s="212"/>
      <c r="I38" s="213"/>
      <c r="J38" s="212"/>
    </row>
    <row r="39" spans="1:10" s="278" customFormat="1" ht="49.5" customHeight="1" hidden="1">
      <c r="A39" s="212"/>
      <c r="B39" s="212"/>
      <c r="C39" s="212"/>
      <c r="D39" s="279"/>
      <c r="E39" s="100"/>
      <c r="F39" s="212"/>
      <c r="G39" s="212"/>
      <c r="H39" s="212"/>
      <c r="I39" s="213"/>
      <c r="J39" s="212"/>
    </row>
    <row r="40" spans="1:10" s="278" customFormat="1" ht="147" customHeight="1">
      <c r="A40" s="212"/>
      <c r="B40" s="212"/>
      <c r="C40" s="212"/>
      <c r="D40" s="279"/>
      <c r="E40" s="100" t="s">
        <v>17</v>
      </c>
      <c r="F40" s="212"/>
      <c r="G40" s="212"/>
      <c r="H40" s="212"/>
      <c r="I40" s="213">
        <v>21360</v>
      </c>
      <c r="J40" s="212"/>
    </row>
    <row r="41" spans="1:10" s="278" customFormat="1" ht="52.5" customHeight="1">
      <c r="A41" s="44" t="s">
        <v>208</v>
      </c>
      <c r="B41" s="3"/>
      <c r="C41" s="4"/>
      <c r="D41" s="37" t="s">
        <v>209</v>
      </c>
      <c r="E41" s="38"/>
      <c r="F41" s="212"/>
      <c r="G41" s="212"/>
      <c r="H41" s="212"/>
      <c r="I41" s="213">
        <f>I42</f>
        <v>13045000</v>
      </c>
      <c r="J41" s="212"/>
    </row>
    <row r="42" spans="1:10" s="278" customFormat="1" ht="57" customHeight="1">
      <c r="A42" s="4" t="s">
        <v>210</v>
      </c>
      <c r="B42" s="3"/>
      <c r="C42" s="4"/>
      <c r="D42" s="37" t="s">
        <v>211</v>
      </c>
      <c r="E42" s="38"/>
      <c r="F42" s="212"/>
      <c r="G42" s="212"/>
      <c r="H42" s="212"/>
      <c r="I42" s="213">
        <f>I43+I46</f>
        <v>13045000</v>
      </c>
      <c r="J42" s="212"/>
    </row>
    <row r="43" spans="1:10" s="278" customFormat="1" ht="42" customHeight="1">
      <c r="A43" s="4" t="s">
        <v>243</v>
      </c>
      <c r="B43" s="29">
        <v>6011</v>
      </c>
      <c r="C43" s="28" t="s">
        <v>241</v>
      </c>
      <c r="D43" s="36" t="s">
        <v>242</v>
      </c>
      <c r="E43" s="100"/>
      <c r="F43" s="212"/>
      <c r="G43" s="212"/>
      <c r="H43" s="212"/>
      <c r="I43" s="213">
        <f>I45</f>
        <v>5000000</v>
      </c>
      <c r="J43" s="212"/>
    </row>
    <row r="44" spans="1:10" s="278" customFormat="1" ht="15.75">
      <c r="A44" s="4"/>
      <c r="B44" s="29"/>
      <c r="C44" s="28"/>
      <c r="D44" s="36"/>
      <c r="E44" s="100" t="s">
        <v>102</v>
      </c>
      <c r="F44" s="212"/>
      <c r="G44" s="212"/>
      <c r="H44" s="212"/>
      <c r="I44" s="213"/>
      <c r="J44" s="212"/>
    </row>
    <row r="45" spans="1:10" s="278" customFormat="1" ht="78.75">
      <c r="A45" s="4"/>
      <c r="B45" s="29"/>
      <c r="C45" s="28"/>
      <c r="D45" s="36"/>
      <c r="E45" s="100" t="s">
        <v>429</v>
      </c>
      <c r="F45" s="38" t="s">
        <v>434</v>
      </c>
      <c r="G45" s="38">
        <v>11603503</v>
      </c>
      <c r="H45" s="212"/>
      <c r="I45" s="213">
        <v>5000000</v>
      </c>
      <c r="J45" s="212"/>
    </row>
    <row r="46" spans="1:10" s="278" customFormat="1" ht="50.25" customHeight="1">
      <c r="A46" s="4" t="s">
        <v>302</v>
      </c>
      <c r="B46" s="29">
        <v>7330</v>
      </c>
      <c r="C46" s="4" t="s">
        <v>291</v>
      </c>
      <c r="D46" s="36" t="s">
        <v>292</v>
      </c>
      <c r="E46" s="100"/>
      <c r="F46" s="38"/>
      <c r="G46" s="212"/>
      <c r="H46" s="212"/>
      <c r="I46" s="213">
        <f>I50</f>
        <v>8045000</v>
      </c>
      <c r="J46" s="212"/>
    </row>
    <row r="47" spans="1:10" s="278" customFormat="1" ht="42" customHeight="1" hidden="1">
      <c r="A47" s="212"/>
      <c r="B47" s="212"/>
      <c r="C47" s="212"/>
      <c r="D47" s="212"/>
      <c r="E47" s="100"/>
      <c r="F47" s="38"/>
      <c r="G47" s="212"/>
      <c r="H47" s="212"/>
      <c r="I47" s="213">
        <f>100000+(-100000)</f>
        <v>0</v>
      </c>
      <c r="J47" s="212"/>
    </row>
    <row r="48" spans="1:10" s="278" customFormat="1" ht="62.25" customHeight="1" hidden="1">
      <c r="A48" s="212"/>
      <c r="B48" s="212"/>
      <c r="C48" s="212"/>
      <c r="D48" s="212"/>
      <c r="E48" s="100"/>
      <c r="F48" s="38"/>
      <c r="G48" s="212"/>
      <c r="H48" s="212"/>
      <c r="I48" s="213">
        <f>400000+(-400000)</f>
        <v>0</v>
      </c>
      <c r="J48" s="212"/>
    </row>
    <row r="49" spans="1:10" s="278" customFormat="1" ht="15.75">
      <c r="A49" s="4"/>
      <c r="B49" s="3"/>
      <c r="C49" s="4"/>
      <c r="D49" s="36"/>
      <c r="E49" s="100" t="s">
        <v>102</v>
      </c>
      <c r="F49" s="38"/>
      <c r="G49" s="212"/>
      <c r="H49" s="212"/>
      <c r="I49" s="213"/>
      <c r="J49" s="212"/>
    </row>
    <row r="50" spans="1:10" s="278" customFormat="1" ht="72" customHeight="1">
      <c r="A50" s="4"/>
      <c r="B50" s="3"/>
      <c r="C50" s="4"/>
      <c r="D50" s="36"/>
      <c r="E50" s="100" t="s">
        <v>431</v>
      </c>
      <c r="F50" s="38">
        <v>2023</v>
      </c>
      <c r="G50" s="212"/>
      <c r="H50" s="212"/>
      <c r="I50" s="213">
        <v>8045000</v>
      </c>
      <c r="J50" s="212"/>
    </row>
    <row r="51" spans="1:10" s="278" customFormat="1" ht="15.75">
      <c r="A51" s="212" t="s">
        <v>430</v>
      </c>
      <c r="B51" s="212" t="s">
        <v>430</v>
      </c>
      <c r="C51" s="212" t="s">
        <v>430</v>
      </c>
      <c r="D51" s="38" t="s">
        <v>18</v>
      </c>
      <c r="E51" s="212" t="s">
        <v>430</v>
      </c>
      <c r="F51" s="212" t="s">
        <v>430</v>
      </c>
      <c r="G51" s="212"/>
      <c r="H51" s="212"/>
      <c r="I51" s="215">
        <f>I14+I22+I41</f>
        <v>15366984.5</v>
      </c>
      <c r="J51" s="212" t="s">
        <v>430</v>
      </c>
    </row>
    <row r="54" spans="1:7" ht="18.75" customHeight="1">
      <c r="A54" s="340" t="s">
        <v>256</v>
      </c>
      <c r="B54" s="340"/>
      <c r="C54" s="340"/>
      <c r="D54" s="340"/>
      <c r="G54" s="216" t="s">
        <v>196</v>
      </c>
    </row>
  </sheetData>
  <mergeCells count="7">
    <mergeCell ref="A7:J7"/>
    <mergeCell ref="A8:C8"/>
    <mergeCell ref="A54:D54"/>
    <mergeCell ref="H1:I1"/>
    <mergeCell ref="H2:J2"/>
    <mergeCell ref="A5:J5"/>
    <mergeCell ref="A6:J6"/>
  </mergeCells>
  <printOptions/>
  <pageMargins left="0.75" right="0.24" top="0.49" bottom="0.32" header="0.5" footer="0.32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2023-08-02T06:03:12Z</cp:lastPrinted>
  <dcterms:created xsi:type="dcterms:W3CDTF">2018-11-08T06:01:01Z</dcterms:created>
  <dcterms:modified xsi:type="dcterms:W3CDTF">2023-08-02T06:03:16Z</dcterms:modified>
  <cp:category/>
  <cp:version/>
  <cp:contentType/>
  <cp:contentStatus/>
</cp:coreProperties>
</file>